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2"/>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definedName name="_xlnm.Print_Area" localSheetId="0">'1'!$A$1:$G$163</definedName>
    <definedName name="_xlnm.Print_Area" localSheetId="12">'12'!$A$1:$H$24</definedName>
    <definedName name="_xlnm.Print_Area" localSheetId="1">'2'!$A$1:$N$710</definedName>
    <definedName name="_xlnm.Print_Area" localSheetId="3">'3a'!$A$1:$L$37</definedName>
    <definedName name="_xlnm.Print_Area" localSheetId="4">'4'!$A$1:$Q$315</definedName>
    <definedName name="_xlnm.Print_Titles" localSheetId="0">'1'!$4:$7</definedName>
    <definedName name="_xlnm.Print_Titles" localSheetId="12">'12'!$5:$5</definedName>
    <definedName name="_xlnm.Print_Titles" localSheetId="1">'2'!$4:$6</definedName>
    <definedName name="_xlnm.Print_Titles" localSheetId="3">'3a'!$3:$7</definedName>
    <definedName name="_xlnm.Print_Titles" localSheetId="4">'4'!$3:$8</definedName>
  </definedNames>
  <calcPr fullCalcOnLoad="1"/>
</workbook>
</file>

<file path=xl/sharedStrings.xml><?xml version="1.0" encoding="utf-8"?>
<sst xmlns="http://schemas.openxmlformats.org/spreadsheetml/2006/main" count="1836" uniqueCount="740">
  <si>
    <t>Dotacje   rozwojowe   2010  r. (    z  projektów  roku  2009 )</t>
  </si>
  <si>
    <t>Dotacje podmiotowe   w 2010 r.</t>
  </si>
  <si>
    <t xml:space="preserve">Dotacja podmiotowa z budżetu dla niepublicznej szkoły lub innej placówki oświatowo - wychowawczej-Kwota dotacji dla szkoły-Uzupełniającego  Liceum  Ogólnokształcącego w  Złej wsi  Wielkiej  .
</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</si>
  <si>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</si>
  <si>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</si>
  <si>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</si>
  <si>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</si>
  <si>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</si>
  <si>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</si>
  <si>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</si>
  <si>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</si>
  <si>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</si>
  <si>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</si>
  <si>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</si>
  <si>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</si>
  <si>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</si>
  <si>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</si>
  <si>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</si>
  <si>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</si>
  <si>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</si>
  <si>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</si>
  <si>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</si>
  <si>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</si>
  <si>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</si>
  <si>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</si>
  <si>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</si>
  <si>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</si>
  <si>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</si>
  <si>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</si>
  <si>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</si>
  <si>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</si>
  <si>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</si>
  <si>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</si>
  <si>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</si>
  <si>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</si>
  <si>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</si>
  <si>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</si>
  <si>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</si>
  <si>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</si>
  <si>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</si>
  <si>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</si>
  <si>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</si>
  <si>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</si>
  <si>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</si>
  <si>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</si>
  <si>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</si>
  <si>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</si>
  <si>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</si>
  <si>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</si>
  <si>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</si>
  <si>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</si>
  <si>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</si>
  <si>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</si>
  <si>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</si>
  <si>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</si>
  <si>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</si>
  <si>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</si>
  <si>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</si>
  <si>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</si>
  <si>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</si>
  <si>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</si>
  <si>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</si>
  <si>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</si>
  <si>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</si>
  <si>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</si>
  <si>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</si>
  <si>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</si>
  <si>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</si>
  <si>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</si>
  <si>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</si>
  <si>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</si>
  <si>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</si>
  <si>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</si>
  <si>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</si>
  <si>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</si>
  <si>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</si>
  <si>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</si>
  <si>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</si>
  <si>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</si>
  <si>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</si>
  <si>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</si>
  <si>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</si>
  <si>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</si>
  <si>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</si>
  <si>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</si>
  <si>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</si>
  <si>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</si>
  <si>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</si>
  <si>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</si>
  <si>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</si>
  <si>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</si>
  <si>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</si>
  <si>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</si>
  <si>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</si>
  <si>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</si>
  <si>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</si>
  <si>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</si>
  <si>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</si>
  <si>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</si>
  <si>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</si>
  <si>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</si>
  <si>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</si>
  <si>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</si>
  <si>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</si>
  <si>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</si>
  <si>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</si>
  <si>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</si>
  <si>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</si>
  <si>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</si>
  <si>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</si>
  <si>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</si>
  <si>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</si>
  <si>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</si>
  <si>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</si>
  <si>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</si>
  <si>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</si>
  <si>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</si>
  <si>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</si>
  <si>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</si>
  <si>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</si>
  <si>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</si>
  <si>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</si>
  <si>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</si>
  <si>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</si>
  <si>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</si>
  <si>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</si>
  <si>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</si>
  <si>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</si>
  <si>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</si>
  <si>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</si>
  <si>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</si>
  <si>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</si>
  <si>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</si>
  <si>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</si>
  <si>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</si>
  <si>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</si>
  <si>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</si>
  <si>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</si>
  <si>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</si>
  <si>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</si>
  <si>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</si>
  <si>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</si>
  <si>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</si>
  <si>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</si>
  <si>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</si>
  <si>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</si>
  <si>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</si>
  <si>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</si>
  <si>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</si>
  <si>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</si>
  <si>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</si>
  <si>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</si>
  <si>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</si>
  <si>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</si>
  <si>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</si>
  <si>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</si>
  <si>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</si>
  <si>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</si>
  <si>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</si>
  <si>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</si>
  <si>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</si>
  <si>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</si>
  <si>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</si>
  <si>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</si>
  <si>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</si>
  <si>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</si>
  <si>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</si>
  <si>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</si>
  <si>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</si>
  <si>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</si>
  <si>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</si>
  <si>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</si>
  <si>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</si>
  <si>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</si>
  <si>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</si>
  <si>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</si>
  <si>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</si>
  <si>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</si>
  <si>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</si>
  <si>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</si>
  <si>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</si>
  <si>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</si>
  <si>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</si>
  <si>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</si>
  <si>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</si>
  <si>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</si>
  <si>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</si>
  <si>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</si>
  <si>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</si>
  <si>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</si>
  <si>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</si>
  <si>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</si>
  <si>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</si>
  <si>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</si>
  <si>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</si>
  <si>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</si>
  <si>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</si>
  <si>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</si>
  <si>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</si>
  <si>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</si>
  <si>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</si>
  <si>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</si>
  <si>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</si>
  <si>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</si>
  <si>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</si>
  <si>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</si>
  <si>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</si>
  <si>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</si>
  <si>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</si>
  <si>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</si>
  <si>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</si>
  <si>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</si>
  <si>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</si>
  <si>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</si>
  <si>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</si>
  <si>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</si>
  <si>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</si>
  <si>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</si>
  <si>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</si>
  <si>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</si>
  <si>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</si>
  <si>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</si>
  <si>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</si>
  <si>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</si>
  <si>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</si>
  <si>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</si>
  <si>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</si>
  <si>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</si>
  <si>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</si>
  <si>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</si>
  <si>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</si>
  <si>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</si>
  <si>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</si>
  <si>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</si>
  <si>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</si>
  <si>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</si>
  <si>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</si>
  <si>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</si>
  <si>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</si>
  <si>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</si>
  <si>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</si>
  <si>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</si>
  <si>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</si>
  <si>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</si>
  <si>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</si>
  <si>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</si>
  <si>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</si>
  <si>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</si>
  <si>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</si>
  <si>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</si>
  <si>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</si>
  <si>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</si>
  <si>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</si>
  <si>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</si>
  <si>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</si>
  <si>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</si>
  <si>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</si>
  <si>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</si>
  <si>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</si>
  <si>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</si>
  <si>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</si>
  <si>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</si>
  <si>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</si>
  <si>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</si>
  <si>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</si>
  <si>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</si>
  <si>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</si>
  <si>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</si>
  <si>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</si>
  <si>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</si>
  <si>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</si>
  <si>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</si>
  <si>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</si>
  <si>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</si>
  <si>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</si>
  <si>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</si>
  <si>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</si>
  <si>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</si>
  <si>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Wynagrodzenia osobowe członków  korpusu  służby  cywilnej </t>
  </si>
  <si>
    <t>OBRONA  NARODOWA</t>
  </si>
  <si>
    <t>Kwota długu na dzień 31.12.2008</t>
  </si>
  <si>
    <t>obligacje  komunalne   z  roku  2009</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</si>
  <si>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</si>
  <si>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</si>
  <si>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</si>
  <si>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</si>
  <si>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</si>
  <si>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</si>
  <si>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</si>
  <si>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</si>
  <si>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</si>
  <si>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</si>
  <si>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</si>
  <si>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</si>
  <si>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</si>
  <si>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</si>
  <si>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</si>
  <si>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</si>
  <si>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</si>
  <si>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Z.SZ. CKU Gronowo</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</si>
  <si>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</si>
  <si>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</si>
  <si>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</si>
  <si>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</si>
  <si>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</si>
  <si>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</si>
  <si>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</si>
  <si>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</si>
  <si>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</si>
  <si>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</si>
  <si>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</si>
  <si>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</si>
  <si>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</si>
  <si>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</si>
  <si>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obligacje,wolne środki
i pożyczki</t>
  </si>
  <si>
    <t>Droga 2031 Zelgno- Bezdół -Zelgno od km 2+460 do km 2+860 na dł.0,400 km</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</si>
  <si>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</si>
  <si>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</si>
  <si>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</si>
  <si>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</si>
  <si>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</si>
  <si>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</si>
  <si>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</si>
  <si>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</si>
  <si>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</si>
  <si>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</si>
  <si>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</si>
  <si>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</si>
  <si>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</si>
  <si>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</si>
  <si>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</si>
  <si>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</si>
  <si>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Szpitale  ogólne </t>
  </si>
  <si>
    <t xml:space="preserve">Wydatki na  zakup  i  objęcie  akcji  oraz  wniesienie  wkładów  do  spółek prawa  handlowego </t>
  </si>
  <si>
    <t>750/75001</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</si>
  <si>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</si>
  <si>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2009 r.(  FP  -  3004 )</t>
  </si>
  <si>
    <t xml:space="preserve">Zakup pomocy  naukowych , dydaktycznych ,  książek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</si>
  <si>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</si>
  <si>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</si>
  <si>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</si>
  <si>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</si>
  <si>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</si>
  <si>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</si>
  <si>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</si>
  <si>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</si>
  <si>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</si>
  <si>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</si>
  <si>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</si>
  <si>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</si>
  <si>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</si>
  <si>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</si>
  <si>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</si>
  <si>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</si>
  <si>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</si>
  <si>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</si>
  <si>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</si>
  <si>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</si>
  <si>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</si>
  <si>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</si>
  <si>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</si>
  <si>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</si>
  <si>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</si>
  <si>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</si>
  <si>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</si>
  <si>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</si>
  <si>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</si>
  <si>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</si>
  <si>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</si>
  <si>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</si>
  <si>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</si>
  <si>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</si>
  <si>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</si>
  <si>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</si>
  <si>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</si>
  <si>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</si>
  <si>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</si>
  <si>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</si>
  <si>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</si>
  <si>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</si>
  <si>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</si>
  <si>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</si>
  <si>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</si>
  <si>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</si>
  <si>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</si>
  <si>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</si>
  <si>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</si>
  <si>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</si>
  <si>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</si>
  <si>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</si>
  <si>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</si>
  <si>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</si>
  <si>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</si>
  <si>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</si>
  <si>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</si>
  <si>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</si>
  <si>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</si>
  <si>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</si>
  <si>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</si>
  <si>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</si>
  <si>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</si>
  <si>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</si>
  <si>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</si>
  <si>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</si>
  <si>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</si>
  <si>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</si>
  <si>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</si>
  <si>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</si>
  <si>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</si>
  <si>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</si>
  <si>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</si>
  <si>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</si>
  <si>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</si>
  <si>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</si>
  <si>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</si>
  <si>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</si>
  <si>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</si>
  <si>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</si>
  <si>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</si>
  <si>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</si>
  <si>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</si>
  <si>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</si>
  <si>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</si>
  <si>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</si>
  <si>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</si>
  <si>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</si>
  <si>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</si>
  <si>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</si>
  <si>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</si>
  <si>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</si>
  <si>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</si>
  <si>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</si>
  <si>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</si>
  <si>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</si>
  <si>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</si>
  <si>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</si>
  <si>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</si>
  <si>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</si>
  <si>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</si>
  <si>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</si>
  <si>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</si>
  <si>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</si>
  <si>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</si>
  <si>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</si>
  <si>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</si>
  <si>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</si>
  <si>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</si>
  <si>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</si>
  <si>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</si>
  <si>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</si>
  <si>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</si>
  <si>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</si>
  <si>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</si>
  <si>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</si>
  <si>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</si>
  <si>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</si>
  <si>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</si>
  <si>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</si>
  <si>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</si>
  <si>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</si>
  <si>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</si>
  <si>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</si>
  <si>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</si>
  <si>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</si>
  <si>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</si>
  <si>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</si>
  <si>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</si>
  <si>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</si>
  <si>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</si>
  <si>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</si>
  <si>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</si>
  <si>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</si>
  <si>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</si>
  <si>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</si>
  <si>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</si>
  <si>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</si>
  <si>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</si>
  <si>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</si>
  <si>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</si>
  <si>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</si>
  <si>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</si>
  <si>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</si>
  <si>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</si>
  <si>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</si>
  <si>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</si>
  <si>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</si>
  <si>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</si>
  <si>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</si>
  <si>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</si>
  <si>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</si>
  <si>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</si>
  <si>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</si>
  <si>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</si>
  <si>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</si>
  <si>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</si>
  <si>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</si>
  <si>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</si>
  <si>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</si>
  <si>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</si>
  <si>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</si>
  <si>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</si>
  <si>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</si>
  <si>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</si>
  <si>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</si>
  <si>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</si>
  <si>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</si>
  <si>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</si>
  <si>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</si>
  <si>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</si>
  <si>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</si>
  <si>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</si>
  <si>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</si>
  <si>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</si>
  <si>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</si>
  <si>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</si>
  <si>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</si>
  <si>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</si>
  <si>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</si>
  <si>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</si>
  <si>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</si>
  <si>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</si>
  <si>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</si>
  <si>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</si>
  <si>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</si>
  <si>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</si>
  <si>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</si>
  <si>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</si>
  <si>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</si>
  <si>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</si>
  <si>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</si>
  <si>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</si>
  <si>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</si>
  <si>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</si>
  <si>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</si>
  <si>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</si>
  <si>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</si>
  <si>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</si>
  <si>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</si>
  <si>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</si>
  <si>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</si>
  <si>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</si>
  <si>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</si>
  <si>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</si>
  <si>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</si>
  <si>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</si>
  <si>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</si>
  <si>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</si>
  <si>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</si>
  <si>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</si>
  <si>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</si>
  <si>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</si>
  <si>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</si>
  <si>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</si>
  <si>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</si>
  <si>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</si>
  <si>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</si>
  <si>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</si>
  <si>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</si>
  <si>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</si>
  <si>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</si>
  <si>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</si>
  <si>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</si>
  <si>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</si>
  <si>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</si>
  <si>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</si>
  <si>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</si>
  <si>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 xml:space="preserve">wkład  własny  niepieniężny </t>
  </si>
  <si>
    <t xml:space="preserve">Oś: 1- Rozwój infrastruktury  technicznej ,Działanie :1.1 - Infrastruktura drogowa, Tytuł projektu : Poprawa bezpieczeństwa  na  drogach publicznych poprzez wybudowanie dróg rowerowych-droga  rowerowa Toruń- Chełmża   z  odgałęzieniem   do  m.  Kamionki  Małe   </t>
  </si>
  <si>
    <t xml:space="preserve">Oś: 1- Rozwój infrastruktury  technicznej ,Działanie :1.1 - Infrastruktura drogowa, Tytuł projektu : Poprawa bezpieczeństwa  na  drogach publicznych poprzez wybudowanie dróg rowerowych-droga  rowerowa Toruń-Brabarka -Wybcz -  Unisław    </t>
  </si>
  <si>
    <t xml:space="preserve">Oś: 1- Rozwój infrastruktury  technicznej ,Działanie :1.1 - Infrastruktura drogowa, Tytuł projektu : Poprawa bezpieczeństwa  na  drogach publicznych poprzez wybudowanie dróg rowerowych-droga  rowerowa Toruń-Złotoria -Osiek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</si>
  <si>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</si>
  <si>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</si>
  <si>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</si>
  <si>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</si>
  <si>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</si>
  <si>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</si>
  <si>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</si>
  <si>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</si>
  <si>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</si>
  <si>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</si>
  <si>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</si>
  <si>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 xml:space="preserve">Likwidacja    kotłowni  olejowej   w  DPS   Pigża i  wprowadzenie ,  jako  źródła   ciepła  i  ciepłej  wody  -  pompa   ciepła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</si>
  <si>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</si>
  <si>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</si>
  <si>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Dług  publiczny  na  2010  i  lata  następne   nie  może  być  wyższy niż </t>
  </si>
  <si>
    <t>Kwota  długu na   dzień 31.12.2009</t>
  </si>
  <si>
    <t xml:space="preserve">PLAN  2010 </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</si>
  <si>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</si>
  <si>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</si>
  <si>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</si>
  <si>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</si>
  <si>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</si>
  <si>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</si>
  <si>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</si>
  <si>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</si>
  <si>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</si>
  <si>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</si>
  <si>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</si>
  <si>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</si>
  <si>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</si>
  <si>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</si>
  <si>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</si>
  <si>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</si>
  <si>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</si>
  <si>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</si>
  <si>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</si>
  <si>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</si>
  <si>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</si>
  <si>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</si>
  <si>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</si>
  <si>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</si>
  <si>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</si>
  <si>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</si>
  <si>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</si>
  <si>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</si>
  <si>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</si>
  <si>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</si>
  <si>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</si>
  <si>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</si>
  <si>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</si>
  <si>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</si>
  <si>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</si>
  <si>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</si>
  <si>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</si>
  <si>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</si>
  <si>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</si>
  <si>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</si>
  <si>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</si>
  <si>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</si>
  <si>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</si>
  <si>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</si>
  <si>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</si>
  <si>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</si>
  <si>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</si>
  <si>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</si>
  <si>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</si>
  <si>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</si>
  <si>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</si>
  <si>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</si>
  <si>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</si>
  <si>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</si>
  <si>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</si>
  <si>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</si>
  <si>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</si>
  <si>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</si>
  <si>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</si>
  <si>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</si>
  <si>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</si>
  <si>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</si>
  <si>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</si>
  <si>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</si>
  <si>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</si>
  <si>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</si>
  <si>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</si>
  <si>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</si>
  <si>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</si>
  <si>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</si>
  <si>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</si>
  <si>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</si>
  <si>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</si>
  <si>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</si>
  <si>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</si>
  <si>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</si>
  <si>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</si>
  <si>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</si>
  <si>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</si>
  <si>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</si>
  <si>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</si>
  <si>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</si>
  <si>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</si>
  <si>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</si>
  <si>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</si>
  <si>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</si>
  <si>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</si>
  <si>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</si>
  <si>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</si>
  <si>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</si>
  <si>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</si>
  <si>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</si>
  <si>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</si>
  <si>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</si>
  <si>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</si>
  <si>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</si>
  <si>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</si>
  <si>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</si>
  <si>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</si>
  <si>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</si>
  <si>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</si>
  <si>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</si>
  <si>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</si>
  <si>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</si>
  <si>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</si>
  <si>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</si>
  <si>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</si>
  <si>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</si>
  <si>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</si>
  <si>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</si>
  <si>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</si>
  <si>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</si>
  <si>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</si>
  <si>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</si>
  <si>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</si>
  <si>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</si>
  <si>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</si>
  <si>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</si>
  <si>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</si>
  <si>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Internat  w  Gronowie </t>
  </si>
  <si>
    <t xml:space="preserve">Wykończenie  budynku  zajmowanego   na  potrzeby  Starostwa  Powiatowego na  ul. Towarowej  i  inwestycje   w  zasobach  powiatu </t>
  </si>
  <si>
    <t>Zabezpieczenie budynku dawnej chlewni poprzez rozbiórkę pokrycia dachu wykonanego z eternitu oraz demontaż i zabezpieczenie przed dalszą dewastacją więźby dachowej</t>
  </si>
  <si>
    <t>Termomodernizacja budynku warsztatów-kontynuacja</t>
  </si>
  <si>
    <t xml:space="preserve">Wolne  środki   </t>
  </si>
  <si>
    <t xml:space="preserve">Fundusze   celowe </t>
  </si>
  <si>
    <t>801iPFOŚiGW</t>
  </si>
  <si>
    <t>600 i  PFOŚiGW</t>
  </si>
  <si>
    <t>PCPR</t>
  </si>
  <si>
    <r>
      <t xml:space="preserve">rok budżetowy 2010 </t>
    </r>
    <r>
      <rPr>
        <b/>
        <sz val="10"/>
        <rFont val="Arial CE"/>
        <family val="0"/>
      </rPr>
      <t>(8+9+10+11)</t>
    </r>
  </si>
  <si>
    <t xml:space="preserve">Planowane wydatki 2010 </t>
  </si>
  <si>
    <t>Zadania inwestycyjne w 2010 r.</t>
  </si>
  <si>
    <t xml:space="preserve">realizowane   z  obligacji  komunalnych </t>
  </si>
  <si>
    <t xml:space="preserve">z  wolnych  środków </t>
  </si>
  <si>
    <t>w  tym :</t>
  </si>
  <si>
    <t xml:space="preserve">W TYM  INWESTYCJE  WYKAZANE   W  ZAŁĄCZNIKU  NR   2  DO  UCHWAŁY  BUDŻETOWEJ   NA  2010  ROK </t>
  </si>
  <si>
    <t>Plan na 2010 r.</t>
  </si>
  <si>
    <t xml:space="preserve">Finansowanie   zadań  inwestycyjnych   Wojewódzkiej  Komendy  Policji </t>
  </si>
  <si>
    <t>Przebudowa  drogi 1619 Lisewo-Dubielno-Chełmża w km  8+972  do  12+552  na  dł. 3,580 km oraz  chodnik  ul.  Trakt  12+546 do  14+955  na  dł.  2,409 km</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</si>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</sst>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70">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b/>
      <sz val="12"/>
      <name val="Times New Roman"/>
      <family val="1"/>
    </font>
    <font>
      <b/>
      <u val="single"/>
      <sz val="12"/>
      <name val="Arial CE"/>
      <family val="2"/>
    </font>
    <font>
      <sz val="12"/>
      <name val="Arial"/>
      <family val="2"/>
    </font>
    <font>
      <sz val="7"/>
      <name val="Arial"/>
      <family val="2"/>
    </font>
    <font>
      <i/>
      <sz val="12"/>
      <name val="Arial CE"/>
      <family val="0"/>
    </font>
    <font>
      <b/>
      <sz val="12"/>
      <name val="Arial"/>
      <family val="2"/>
    </font>
    <font>
      <b/>
      <u val="single"/>
      <sz val="12"/>
      <name val="Arial"/>
      <family val="2"/>
    </font>
    <font>
      <b/>
      <sz val="11"/>
      <name val="Calibri"/>
      <family val="2"/>
    </font>
    <font>
      <sz val="10"/>
      <color indexed="10"/>
      <name val="Arial CE"/>
      <family val="2"/>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Times New Roman"/>
      <family val="1"/>
    </font>
    <font>
      <b/>
      <u val="single"/>
      <sz val="10"/>
      <name val="Times New Roman"/>
      <family val="1"/>
    </font>
    <font>
      <u val="single"/>
      <sz val="10"/>
      <name val="Times New Roman"/>
      <family val="1"/>
    </font>
    <font>
      <b/>
      <u val="single"/>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medium"/>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54" fillId="0" borderId="3" applyNumberFormat="0" applyFill="0" applyAlignment="0" applyProtection="0"/>
    <xf numFmtId="0" fontId="55" fillId="21"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22" borderId="0" applyNumberFormat="0" applyBorder="0" applyAlignment="0" applyProtection="0"/>
    <xf numFmtId="0" fontId="9" fillId="0" borderId="0">
      <alignment/>
      <protection/>
    </xf>
    <xf numFmtId="0" fontId="60"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 borderId="0" applyNumberFormat="0" applyBorder="0" applyAlignment="0" applyProtection="0"/>
  </cellStyleXfs>
  <cellXfs count="66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0" fontId="24"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5" fillId="0" borderId="0" xfId="0" applyNumberFormat="1" applyFont="1" applyBorder="1" applyAlignment="1">
      <alignment shrinkToFit="1"/>
    </xf>
    <xf numFmtId="1" fontId="6" fillId="0" borderId="0" xfId="0" applyNumberFormat="1" applyFont="1" applyAlignment="1">
      <alignment/>
    </xf>
    <xf numFmtId="3" fontId="2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5" fillId="0" borderId="10" xfId="0" applyFont="1" applyBorder="1" applyAlignment="1">
      <alignment horizontal="center" shrinkToFit="1"/>
    </xf>
    <xf numFmtId="1" fontId="25" fillId="0" borderId="10" xfId="0" applyNumberFormat="1" applyFont="1" applyBorder="1" applyAlignment="1">
      <alignment horizontal="center"/>
    </xf>
    <xf numFmtId="1" fontId="22"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6" fillId="0" borderId="10" xfId="0" applyFont="1" applyBorder="1" applyAlignment="1">
      <alignment horizontal="center" shrinkToFit="1"/>
    </xf>
    <xf numFmtId="0" fontId="28"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6" fillId="0" borderId="10" xfId="0" applyNumberFormat="1" applyFont="1" applyBorder="1" applyAlignment="1">
      <alignment horizontal="right" shrinkToFit="1"/>
    </xf>
    <xf numFmtId="0" fontId="25" fillId="0" borderId="10" xfId="0" applyFont="1" applyBorder="1" applyAlignment="1">
      <alignment shrinkToFit="1"/>
    </xf>
    <xf numFmtId="1" fontId="25" fillId="0" borderId="10" xfId="0" applyNumberFormat="1" applyFont="1" applyBorder="1" applyAlignment="1">
      <alignment/>
    </xf>
    <xf numFmtId="1" fontId="22" fillId="0" borderId="10" xfId="0" applyNumberFormat="1" applyFont="1" applyBorder="1" applyAlignment="1">
      <alignment wrapText="1"/>
    </xf>
    <xf numFmtId="3" fontId="27" fillId="0" borderId="10" xfId="0" applyNumberFormat="1" applyFont="1" applyBorder="1" applyAlignment="1">
      <alignment shrinkToFit="1"/>
    </xf>
    <xf numFmtId="0" fontId="28" fillId="0" borderId="10" xfId="0" applyFont="1" applyBorder="1" applyAlignment="1">
      <alignment shrinkToFit="1"/>
    </xf>
    <xf numFmtId="1" fontId="28"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6" fillId="0" borderId="10" xfId="0" applyNumberFormat="1" applyFont="1" applyBorder="1" applyAlignment="1">
      <alignment shrinkToFit="1"/>
    </xf>
    <xf numFmtId="0" fontId="28" fillId="0" borderId="10" xfId="0" applyFont="1" applyBorder="1" applyAlignment="1">
      <alignment shrinkToFit="1"/>
    </xf>
    <xf numFmtId="1" fontId="28"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19" xfId="0" applyFont="1" applyFill="1" applyBorder="1" applyAlignment="1">
      <alignment shrinkToFit="1"/>
    </xf>
    <xf numFmtId="0" fontId="6" fillId="24" borderId="20" xfId="0" applyFont="1" applyFill="1" applyBorder="1" applyAlignment="1">
      <alignment shrinkToFit="1"/>
    </xf>
    <xf numFmtId="1" fontId="6" fillId="24" borderId="20" xfId="0" applyNumberFormat="1" applyFont="1" applyFill="1" applyBorder="1" applyAlignment="1">
      <alignment/>
    </xf>
    <xf numFmtId="1" fontId="0" fillId="24" borderId="21" xfId="0" applyNumberFormat="1" applyFont="1" applyFill="1" applyBorder="1" applyAlignment="1">
      <alignment wrapText="1"/>
    </xf>
    <xf numFmtId="3" fontId="6" fillId="24" borderId="20" xfId="0" applyNumberFormat="1" applyFont="1" applyFill="1" applyBorder="1" applyAlignment="1">
      <alignment wrapText="1" shrinkToFit="1"/>
    </xf>
    <xf numFmtId="0" fontId="8" fillId="0" borderId="0" xfId="0" applyFont="1" applyAlignment="1">
      <alignment vertical="center"/>
    </xf>
    <xf numFmtId="3" fontId="4" fillId="25" borderId="10" xfId="0" applyNumberFormat="1" applyFont="1" applyFill="1" applyBorder="1" applyAlignment="1">
      <alignment vertical="center"/>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0"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6" fillId="0" borderId="10" xfId="0" applyFont="1" applyBorder="1" applyAlignment="1">
      <alignment horizontal="center" vertical="center"/>
    </xf>
    <xf numFmtId="0" fontId="26" fillId="20" borderId="10" xfId="0" applyFont="1" applyFill="1" applyBorder="1" applyAlignment="1">
      <alignment horizontal="center" vertical="center"/>
    </xf>
    <xf numFmtId="0" fontId="26" fillId="0" borderId="0" xfId="0" applyFont="1" applyAlignment="1">
      <alignment vertical="center"/>
    </xf>
    <xf numFmtId="3" fontId="26"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6" fillId="0" borderId="18" xfId="0" applyFont="1" applyBorder="1" applyAlignment="1">
      <alignment horizontal="center" vertical="center"/>
    </xf>
    <xf numFmtId="0" fontId="1" fillId="0" borderId="10" xfId="0" applyFont="1" applyBorder="1" applyAlignment="1">
      <alignment vertical="center"/>
    </xf>
    <xf numFmtId="3" fontId="26" fillId="20" borderId="10" xfId="0" applyNumberFormat="1" applyFont="1" applyFill="1" applyBorder="1" applyAlignment="1">
      <alignment horizontal="center" vertical="center"/>
    </xf>
    <xf numFmtId="0" fontId="31"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0" fontId="33" fillId="0" borderId="0" xfId="0" applyFont="1" applyAlignment="1">
      <alignment wrapText="1"/>
    </xf>
    <xf numFmtId="3" fontId="0" fillId="0" borderId="0" xfId="0" applyNumberFormat="1" applyAlignment="1">
      <alignment wrapText="1"/>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14" fillId="0" borderId="10" xfId="0" applyNumberFormat="1" applyFont="1" applyBorder="1" applyAlignment="1">
      <alignment/>
    </xf>
    <xf numFmtId="0" fontId="29"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0" fontId="6" fillId="0" borderId="10" xfId="0" applyFont="1" applyBorder="1" applyAlignment="1">
      <alignment horizontal="center"/>
    </xf>
    <xf numFmtId="1" fontId="6" fillId="0" borderId="10" xfId="0" applyNumberFormat="1" applyFont="1" applyBorder="1" applyAlignment="1">
      <alignment horizontal="center" vertical="center"/>
    </xf>
    <xf numFmtId="0" fontId="8" fillId="0" borderId="10" xfId="0" applyFont="1" applyBorder="1" applyAlignment="1">
      <alignment vertical="center"/>
    </xf>
    <xf numFmtId="3" fontId="10" fillId="25" borderId="10" xfId="52" applyNumberFormat="1" applyFont="1" applyFill="1" applyBorder="1">
      <alignment/>
      <protection/>
    </xf>
    <xf numFmtId="3" fontId="24"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1" fillId="20" borderId="10" xfId="52" applyFont="1" applyFill="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7" fillId="0" borderId="0" xfId="0" applyFont="1" applyAlignment="1">
      <alignment horizontal="center" vertical="center"/>
    </xf>
    <xf numFmtId="0" fontId="36" fillId="0" borderId="0" xfId="0" applyFont="1" applyAlignment="1">
      <alignment/>
    </xf>
    <xf numFmtId="0" fontId="5" fillId="0" borderId="0" xfId="0" applyFont="1" applyAlignment="1">
      <alignment/>
    </xf>
    <xf numFmtId="0" fontId="5" fillId="0" borderId="0" xfId="0" applyFont="1" applyAlignment="1">
      <alignment/>
    </xf>
    <xf numFmtId="3" fontId="36" fillId="0" borderId="0" xfId="0" applyNumberFormat="1" applyFont="1" applyFill="1" applyBorder="1" applyAlignment="1">
      <alignment/>
    </xf>
    <xf numFmtId="0" fontId="36" fillId="0" borderId="0" xfId="0" applyFont="1" applyBorder="1" applyAlignment="1">
      <alignment/>
    </xf>
    <xf numFmtId="0" fontId="7" fillId="0" borderId="0" xfId="0" applyFont="1" applyAlignment="1">
      <alignment/>
    </xf>
    <xf numFmtId="0" fontId="17" fillId="0" borderId="10" xfId="0" applyFont="1" applyBorder="1" applyAlignment="1">
      <alignment horizontal="left" wrapText="1"/>
    </xf>
    <xf numFmtId="3" fontId="32"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27" xfId="0" applyFont="1" applyBorder="1" applyAlignment="1">
      <alignment vertical="center" wrapText="1"/>
    </xf>
    <xf numFmtId="3" fontId="4" fillId="0" borderId="28" xfId="0" applyNumberFormat="1" applyFont="1" applyBorder="1" applyAlignment="1">
      <alignment vertical="center"/>
    </xf>
    <xf numFmtId="3" fontId="4" fillId="0" borderId="24" xfId="0" applyNumberFormat="1" applyFont="1" applyBorder="1" applyAlignment="1">
      <alignment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4"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29"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4" fillId="0" borderId="10" xfId="0" applyFont="1" applyBorder="1" applyAlignment="1">
      <alignment wrapText="1"/>
    </xf>
    <xf numFmtId="3" fontId="6" fillId="0" borderId="10" xfId="0" applyNumberFormat="1" applyFont="1" applyBorder="1" applyAlignment="1">
      <alignment horizontal="center" vertical="center"/>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20" fillId="0" borderId="10" xfId="0" applyFont="1" applyBorder="1" applyAlignment="1">
      <alignment vertical="center"/>
    </xf>
    <xf numFmtId="0" fontId="28" fillId="0" borderId="0" xfId="0" applyFont="1" applyAlignment="1">
      <alignment horizontal="center"/>
    </xf>
    <xf numFmtId="0" fontId="6" fillId="0" borderId="0" xfId="0" applyFont="1" applyAlignment="1">
      <alignmen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4" fillId="0" borderId="10" xfId="0" applyFont="1" applyBorder="1" applyAlignment="1">
      <alignment horizontal="right"/>
    </xf>
    <xf numFmtId="0" fontId="0" fillId="0" borderId="17" xfId="0" applyFont="1" applyBorder="1" applyAlignment="1">
      <alignment vertical="center"/>
    </xf>
    <xf numFmtId="0" fontId="28"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38" fillId="0" borderId="10" xfId="0" applyFont="1" applyBorder="1" applyAlignment="1">
      <alignment horizontal="left" vertical="center" wrapText="1"/>
    </xf>
    <xf numFmtId="3" fontId="7" fillId="0" borderId="0" xfId="0" applyNumberFormat="1" applyFont="1" applyAlignment="1">
      <alignment horizontal="center" vertical="center"/>
    </xf>
    <xf numFmtId="3" fontId="7" fillId="0" borderId="0" xfId="0" applyNumberFormat="1" applyFont="1" applyAlignment="1">
      <alignment vertical="center"/>
    </xf>
    <xf numFmtId="3" fontId="39" fillId="0" borderId="0" xfId="0" applyNumberFormat="1" applyFont="1" applyAlignment="1">
      <alignment horizontal="center"/>
    </xf>
    <xf numFmtId="0" fontId="37" fillId="0" borderId="0" xfId="0" applyFont="1" applyAlignment="1">
      <alignment/>
    </xf>
    <xf numFmtId="0" fontId="41" fillId="0" borderId="0" xfId="0" applyFont="1" applyAlignment="1">
      <alignment/>
    </xf>
    <xf numFmtId="0" fontId="40" fillId="0" borderId="0" xfId="0" applyFont="1" applyAlignment="1">
      <alignment/>
    </xf>
    <xf numFmtId="3" fontId="37" fillId="0" borderId="0" xfId="0" applyNumberFormat="1" applyFont="1" applyAlignment="1">
      <alignment/>
    </xf>
    <xf numFmtId="0" fontId="37" fillId="0" borderId="0" xfId="0" applyFont="1" applyAlignment="1">
      <alignment horizontal="center" vertical="center"/>
    </xf>
    <xf numFmtId="0" fontId="7" fillId="0" borderId="0" xfId="0" applyFont="1" applyAlignment="1">
      <alignment vertical="center"/>
    </xf>
    <xf numFmtId="0" fontId="10" fillId="0" borderId="10" xfId="52" applyFont="1" applyBorder="1" applyAlignment="1">
      <alignment horizontal="center"/>
      <protection/>
    </xf>
    <xf numFmtId="1" fontId="21" fillId="0" borderId="10" xfId="0" applyNumberFormat="1" applyFont="1" applyBorder="1" applyAlignment="1">
      <alignment vertical="center" wrapText="1" shrinkToFit="1"/>
    </xf>
    <xf numFmtId="0" fontId="10" fillId="25" borderId="10" xfId="52" applyFont="1" applyFill="1" applyBorder="1" applyAlignment="1">
      <alignment wrapText="1"/>
      <protection/>
    </xf>
    <xf numFmtId="3" fontId="11" fillId="0" borderId="0" xfId="52" applyNumberFormat="1" applyFont="1">
      <alignment/>
      <protection/>
    </xf>
    <xf numFmtId="3" fontId="43"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0" fontId="12" fillId="0" borderId="10" xfId="0" applyFont="1" applyBorder="1" applyAlignment="1">
      <alignment horizontal="center" vertical="center" wrapText="1"/>
    </xf>
    <xf numFmtId="0" fontId="17" fillId="25" borderId="10" xfId="0" applyFont="1" applyFill="1" applyBorder="1" applyAlignment="1">
      <alignment horizontal="center" wrapText="1"/>
    </xf>
    <xf numFmtId="0" fontId="17" fillId="25" borderId="10" xfId="0" applyFont="1" applyFill="1" applyBorder="1" applyAlignment="1">
      <alignment wrapText="1"/>
    </xf>
    <xf numFmtId="3" fontId="17" fillId="25" borderId="10" xfId="0" applyNumberFormat="1" applyFont="1" applyFill="1" applyBorder="1" applyAlignment="1">
      <alignment horizontal="right" vertical="top" wrapText="1"/>
    </xf>
    <xf numFmtId="0" fontId="17" fillId="25" borderId="10" xfId="0" applyFont="1" applyFill="1" applyBorder="1" applyAlignment="1">
      <alignment/>
    </xf>
    <xf numFmtId="0" fontId="0" fillId="25" borderId="10" xfId="0" applyFill="1" applyBorder="1" applyAlignment="1">
      <alignment/>
    </xf>
    <xf numFmtId="0" fontId="14" fillId="25" borderId="10" xfId="0" applyFont="1" applyFill="1" applyBorder="1" applyAlignment="1">
      <alignment horizontal="center" wrapText="1"/>
    </xf>
    <xf numFmtId="0" fontId="14" fillId="25" borderId="10" xfId="0" applyFont="1" applyFill="1" applyBorder="1" applyAlignment="1">
      <alignment horizontal="left" wrapText="1" indent="1"/>
    </xf>
    <xf numFmtId="3" fontId="14" fillId="2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46" fillId="0" borderId="10" xfId="0" applyNumberFormat="1" applyFont="1" applyBorder="1" applyAlignment="1">
      <alignment horizontal="right"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173" fontId="0" fillId="0" borderId="0" xfId="0" applyNumberFormat="1" applyAlignment="1">
      <alignment/>
    </xf>
    <xf numFmtId="0" fontId="43" fillId="0" borderId="30" xfId="0" applyFont="1" applyBorder="1" applyAlignment="1">
      <alignment/>
    </xf>
    <xf numFmtId="0" fontId="47" fillId="0" borderId="31" xfId="0" applyFont="1" applyBorder="1" applyAlignment="1">
      <alignment/>
    </xf>
    <xf numFmtId="0" fontId="17" fillId="20" borderId="32" xfId="0" applyFont="1" applyFill="1" applyBorder="1" applyAlignment="1">
      <alignment vertical="center"/>
    </xf>
    <xf numFmtId="0" fontId="17" fillId="20" borderId="18" xfId="0" applyFont="1" applyFill="1" applyBorder="1" applyAlignment="1">
      <alignment vertical="center"/>
    </xf>
    <xf numFmtId="0" fontId="17" fillId="20" borderId="18" xfId="0" applyFont="1" applyFill="1" applyBorder="1" applyAlignment="1">
      <alignment horizontal="center" vertical="center" wrapText="1"/>
    </xf>
    <xf numFmtId="0" fontId="40" fillId="26" borderId="0" xfId="0" applyFont="1" applyFill="1" applyAlignment="1">
      <alignment/>
    </xf>
    <xf numFmtId="0" fontId="0" fillId="0" borderId="0" xfId="0" applyFont="1" applyAlignment="1">
      <alignment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7" xfId="0" applyFont="1" applyBorder="1" applyAlignment="1">
      <alignment vertical="center" wrapText="1"/>
    </xf>
    <xf numFmtId="0" fontId="45" fillId="0" borderId="17" xfId="0" applyFont="1" applyBorder="1" applyAlignment="1">
      <alignment vertical="center" wrapText="1"/>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0" fillId="0" borderId="17" xfId="0"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32" xfId="0" applyFont="1" applyBorder="1" applyAlignment="1">
      <alignment vertical="center"/>
    </xf>
    <xf numFmtId="0" fontId="4" fillId="0" borderId="18" xfId="0" applyFont="1" applyBorder="1" applyAlignment="1">
      <alignment vertical="center"/>
    </xf>
    <xf numFmtId="0" fontId="14" fillId="0" borderId="33"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0" fontId="21"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20" borderId="10" xfId="0" applyNumberFormat="1" applyFont="1" applyFill="1" applyBorder="1" applyAlignment="1">
      <alignment horizontal="center" vertical="center" wrapText="1"/>
    </xf>
    <xf numFmtId="0" fontId="48"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49"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wrapText="1"/>
    </xf>
    <xf numFmtId="3" fontId="4" fillId="20" borderId="16" xfId="0" applyNumberFormat="1" applyFont="1" applyFill="1" applyBorder="1" applyAlignment="1">
      <alignment horizontal="center" vertical="center" wrapText="1"/>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0" fontId="4" fillId="0" borderId="10" xfId="0" applyFont="1" applyFill="1" applyBorder="1" applyAlignment="1">
      <alignment/>
    </xf>
    <xf numFmtId="0" fontId="0" fillId="0" borderId="0" xfId="0" applyFont="1" applyAlignment="1">
      <alignment/>
    </xf>
    <xf numFmtId="3" fontId="0" fillId="0" borderId="10" xfId="0" applyNumberFormat="1" applyFont="1" applyBorder="1" applyAlignment="1">
      <alignment vertical="center"/>
    </xf>
    <xf numFmtId="0" fontId="22" fillId="0" borderId="10" xfId="0" applyFont="1" applyBorder="1" applyAlignment="1">
      <alignment/>
    </xf>
    <xf numFmtId="0" fontId="22" fillId="0" borderId="10" xfId="0" applyFont="1" applyBorder="1" applyAlignment="1">
      <alignment wrapText="1"/>
    </xf>
    <xf numFmtId="3" fontId="22" fillId="25" borderId="10" xfId="0" applyNumberFormat="1" applyFont="1" applyFill="1" applyBorder="1" applyAlignment="1">
      <alignment vertical="center"/>
    </xf>
    <xf numFmtId="3" fontId="22" fillId="0" borderId="10" xfId="0" applyNumberFormat="1" applyFont="1" applyBorder="1" applyAlignment="1">
      <alignment vertical="center"/>
    </xf>
    <xf numFmtId="0" fontId="4" fillId="0" borderId="10" xfId="0" applyFont="1" applyBorder="1" applyAlignment="1">
      <alignment/>
    </xf>
    <xf numFmtId="0" fontId="4" fillId="0" borderId="10" xfId="0" applyFont="1" applyBorder="1" applyAlignment="1">
      <alignment wrapText="1"/>
    </xf>
    <xf numFmtId="3" fontId="4" fillId="25" borderId="10" xfId="0" applyNumberFormat="1" applyFont="1" applyFill="1" applyBorder="1" applyAlignment="1">
      <alignment vertical="center"/>
    </xf>
    <xf numFmtId="3" fontId="4" fillId="0" borderId="10" xfId="0" applyNumberFormat="1" applyFont="1" applyBorder="1" applyAlignment="1">
      <alignment vertical="center"/>
    </xf>
    <xf numFmtId="3" fontId="0" fillId="25" borderId="10" xfId="0" applyNumberFormat="1" applyFont="1" applyFill="1" applyBorder="1" applyAlignment="1">
      <alignment vertical="center"/>
    </xf>
    <xf numFmtId="0" fontId="4" fillId="0" borderId="10" xfId="0" applyFont="1" applyBorder="1" applyAlignment="1">
      <alignment/>
    </xf>
    <xf numFmtId="0" fontId="4" fillId="0" borderId="10" xfId="0" applyFont="1" applyBorder="1" applyAlignment="1">
      <alignment wrapText="1"/>
    </xf>
    <xf numFmtId="3" fontId="0" fillId="0" borderId="10" xfId="0" applyNumberFormat="1" applyFont="1" applyBorder="1" applyAlignment="1">
      <alignment/>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vertical="center" wrapText="1" shrinkToFit="1"/>
    </xf>
    <xf numFmtId="3" fontId="22" fillId="25" borderId="10" xfId="0" applyNumberFormat="1" applyFont="1" applyFill="1" applyBorder="1" applyAlignment="1">
      <alignment vertical="center"/>
    </xf>
    <xf numFmtId="3" fontId="22" fillId="0" borderId="10" xfId="0" applyNumberFormat="1" applyFont="1" applyBorder="1" applyAlignment="1">
      <alignment vertical="center"/>
    </xf>
    <xf numFmtId="3" fontId="0" fillId="0" borderId="10" xfId="0" applyNumberFormat="1" applyFont="1" applyBorder="1" applyAlignment="1">
      <alignment vertical="center"/>
    </xf>
    <xf numFmtId="0" fontId="0" fillId="20" borderId="14" xfId="0" applyFont="1" applyFill="1"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wrapText="1"/>
    </xf>
    <xf numFmtId="3" fontId="34" fillId="0" borderId="10" xfId="0" applyNumberFormat="1" applyFont="1" applyFill="1" applyBorder="1" applyAlignment="1">
      <alignment/>
    </xf>
    <xf numFmtId="3" fontId="0" fillId="0" borderId="10" xfId="0" applyNumberFormat="1" applyFont="1" applyBorder="1" applyAlignment="1">
      <alignment/>
    </xf>
    <xf numFmtId="0" fontId="0" fillId="0" borderId="10" xfId="0" applyFont="1" applyFill="1" applyBorder="1" applyAlignment="1">
      <alignment horizontal="right"/>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14" fillId="0" borderId="0" xfId="0" applyFont="1" applyBorder="1" applyAlignment="1">
      <alignment wrapText="1"/>
    </xf>
    <xf numFmtId="1" fontId="0" fillId="0" borderId="10" xfId="0" applyNumberFormat="1" applyFont="1" applyBorder="1" applyAlignment="1">
      <alignment vertical="center" wrapText="1" shrinkToFit="1"/>
    </xf>
    <xf numFmtId="1" fontId="0" fillId="0" borderId="10" xfId="0" applyNumberFormat="1" applyFont="1" applyBorder="1" applyAlignment="1">
      <alignment horizontal="center" vertical="center"/>
    </xf>
    <xf numFmtId="3" fontId="0" fillId="0" borderId="10" xfId="0" applyNumberFormat="1" applyFont="1" applyFill="1" applyBorder="1" applyAlignment="1">
      <alignment vertical="center" shrinkToFit="1"/>
    </xf>
    <xf numFmtId="3" fontId="22" fillId="25" borderId="10" xfId="0" applyNumberFormat="1" applyFont="1" applyFill="1" applyBorder="1" applyAlignment="1">
      <alignment/>
    </xf>
    <xf numFmtId="3" fontId="22" fillId="0" borderId="10" xfId="0" applyNumberFormat="1" applyFont="1" applyBorder="1" applyAlignment="1">
      <alignment/>
    </xf>
    <xf numFmtId="3" fontId="4" fillId="25" borderId="10" xfId="0" applyNumberFormat="1" applyFont="1" applyFill="1" applyBorder="1" applyAlignment="1">
      <alignment/>
    </xf>
    <xf numFmtId="3" fontId="4" fillId="0" borderId="10" xfId="0" applyNumberFormat="1" applyFont="1" applyBorder="1" applyAlignment="1">
      <alignment/>
    </xf>
    <xf numFmtId="0" fontId="0" fillId="0" borderId="14" xfId="0" applyFont="1" applyBorder="1" applyAlignment="1">
      <alignment/>
    </xf>
    <xf numFmtId="0" fontId="0" fillId="0" borderId="14" xfId="0" applyFont="1" applyBorder="1" applyAlignment="1">
      <alignment wrapText="1"/>
    </xf>
    <xf numFmtId="3" fontId="0" fillId="0" borderId="14" xfId="0" applyNumberFormat="1" applyFont="1" applyBorder="1" applyAlignment="1">
      <alignment/>
    </xf>
    <xf numFmtId="3" fontId="22" fillId="26" borderId="10" xfId="0" applyNumberFormat="1" applyFont="1" applyFill="1" applyBorder="1" applyAlignment="1">
      <alignment/>
    </xf>
    <xf numFmtId="3" fontId="0" fillId="25" borderId="10" xfId="0" applyNumberFormat="1" applyFont="1" applyFill="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wrapText="1"/>
    </xf>
    <xf numFmtId="3" fontId="4" fillId="2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Font="1" applyBorder="1" applyAlignment="1">
      <alignment horizontal="right"/>
    </xf>
    <xf numFmtId="0" fontId="4" fillId="0" borderId="10" xfId="0" applyFont="1" applyBorder="1" applyAlignment="1">
      <alignment horizontal="right"/>
    </xf>
    <xf numFmtId="0" fontId="0" fillId="0" borderId="10" xfId="0" applyFont="1" applyBorder="1" applyAlignment="1">
      <alignment horizontal="right"/>
    </xf>
    <xf numFmtId="3" fontId="0" fillId="25" borderId="10" xfId="0" applyNumberFormat="1" applyFont="1" applyFill="1" applyBorder="1" applyAlignment="1">
      <alignment vertical="center"/>
    </xf>
    <xf numFmtId="3" fontId="4" fillId="25" borderId="10" xfId="0" applyNumberFormat="1" applyFont="1" applyFill="1" applyBorder="1" applyAlignment="1">
      <alignment/>
    </xf>
    <xf numFmtId="3" fontId="34" fillId="26" borderId="10" xfId="0" applyNumberFormat="1" applyFont="1" applyFill="1" applyBorder="1" applyAlignment="1">
      <alignment/>
    </xf>
    <xf numFmtId="1" fontId="0" fillId="0" borderId="10" xfId="0" applyNumberFormat="1" applyFont="1" applyBorder="1" applyAlignment="1">
      <alignment vertical="center" wrapText="1" shrinkToFit="1"/>
    </xf>
    <xf numFmtId="0" fontId="0" fillId="26" borderId="10" xfId="0" applyFont="1" applyFill="1" applyBorder="1" applyAlignment="1">
      <alignment/>
    </xf>
    <xf numFmtId="0" fontId="0" fillId="26" borderId="10" xfId="0" applyFont="1" applyFill="1" applyBorder="1" applyAlignment="1">
      <alignment wrapText="1"/>
    </xf>
    <xf numFmtId="1" fontId="4" fillId="0" borderId="10" xfId="0" applyNumberFormat="1" applyFont="1" applyBorder="1" applyAlignment="1">
      <alignment vertical="center" wrapText="1" shrinkToFit="1"/>
    </xf>
    <xf numFmtId="0" fontId="22" fillId="0" borderId="10" xfId="0" applyFont="1" applyBorder="1" applyAlignment="1">
      <alignment horizontal="right"/>
    </xf>
    <xf numFmtId="3" fontId="66" fillId="25" borderId="10" xfId="0" applyNumberFormat="1" applyFont="1" applyFill="1" applyBorder="1" applyAlignment="1">
      <alignment/>
    </xf>
    <xf numFmtId="3" fontId="66" fillId="0" borderId="10" xfId="0" applyNumberFormat="1" applyFont="1" applyFill="1" applyBorder="1" applyAlignment="1">
      <alignment/>
    </xf>
    <xf numFmtId="0" fontId="0" fillId="0" borderId="10" xfId="0" applyFont="1" applyFill="1" applyBorder="1" applyAlignment="1">
      <alignment/>
    </xf>
    <xf numFmtId="3" fontId="66" fillId="25" borderId="10" xfId="0" applyNumberFormat="1" applyFont="1" applyFill="1" applyBorder="1" applyAlignment="1">
      <alignment/>
    </xf>
    <xf numFmtId="3" fontId="66" fillId="0" borderId="10" xfId="0" applyNumberFormat="1" applyFont="1" applyFill="1" applyBorder="1" applyAlignment="1">
      <alignment/>
    </xf>
    <xf numFmtId="0" fontId="67" fillId="0" borderId="10" xfId="0" applyFont="1" applyBorder="1" applyAlignment="1">
      <alignment horizontal="right" vertical="center" shrinkToFit="1"/>
    </xf>
    <xf numFmtId="0" fontId="67" fillId="0" borderId="10" xfId="0" applyFont="1" applyBorder="1" applyAlignment="1">
      <alignment horizontal="center" vertical="center" shrinkToFit="1"/>
    </xf>
    <xf numFmtId="1" fontId="67" fillId="0" borderId="10" xfId="0" applyNumberFormat="1" applyFont="1" applyBorder="1" applyAlignment="1">
      <alignment horizontal="center" vertical="center"/>
    </xf>
    <xf numFmtId="1" fontId="67" fillId="0" borderId="10" xfId="0" applyNumberFormat="1" applyFont="1" applyBorder="1" applyAlignment="1">
      <alignment vertical="center" wrapText="1" shrinkToFit="1"/>
    </xf>
    <xf numFmtId="3" fontId="66" fillId="25" borderId="10" xfId="0" applyNumberFormat="1" applyFont="1" applyFill="1" applyBorder="1" applyAlignment="1">
      <alignment horizontal="right" vertical="center"/>
    </xf>
    <xf numFmtId="3" fontId="66" fillId="0" borderId="10" xfId="0" applyNumberFormat="1" applyFont="1" applyFill="1" applyBorder="1" applyAlignment="1">
      <alignment horizontal="right" vertical="center"/>
    </xf>
    <xf numFmtId="0" fontId="66" fillId="0" borderId="10" xfId="0" applyFont="1" applyBorder="1" applyAlignment="1">
      <alignment horizontal="center" vertical="center" shrinkToFit="1"/>
    </xf>
    <xf numFmtId="0" fontId="66" fillId="0" borderId="10" xfId="0" applyFont="1" applyBorder="1" applyAlignment="1">
      <alignment horizontal="right" vertical="center" shrinkToFit="1"/>
    </xf>
    <xf numFmtId="1" fontId="66" fillId="0" borderId="10" xfId="0" applyNumberFormat="1" applyFont="1" applyBorder="1" applyAlignment="1">
      <alignment horizontal="center" vertical="center"/>
    </xf>
    <xf numFmtId="1" fontId="66" fillId="0" borderId="10" xfId="0" applyNumberFormat="1" applyFont="1" applyBorder="1" applyAlignment="1">
      <alignment vertical="center" wrapText="1" shrinkToFit="1"/>
    </xf>
    <xf numFmtId="3" fontId="34" fillId="25" borderId="10" xfId="0" applyNumberFormat="1" applyFont="1" applyFill="1" applyBorder="1" applyAlignment="1">
      <alignment horizontal="right" vertical="center"/>
    </xf>
    <xf numFmtId="3" fontId="34" fillId="0" borderId="10" xfId="0" applyNumberFormat="1" applyFont="1" applyFill="1" applyBorder="1" applyAlignment="1">
      <alignment horizontal="right" vertical="center"/>
    </xf>
    <xf numFmtId="0" fontId="68" fillId="0" borderId="10" xfId="0" applyFont="1" applyBorder="1" applyAlignment="1">
      <alignment horizontal="center" vertical="center" shrinkToFit="1"/>
    </xf>
    <xf numFmtId="3" fontId="17" fillId="20" borderId="10"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3" fontId="14" fillId="0" borderId="16" xfId="0" applyNumberFormat="1" applyFont="1" applyBorder="1" applyAlignment="1">
      <alignment horizontal="center" vertical="center" wrapText="1"/>
    </xf>
    <xf numFmtId="1" fontId="22" fillId="0" borderId="10" xfId="0" applyNumberFormat="1" applyFont="1" applyBorder="1" applyAlignment="1">
      <alignment horizontal="left" vertical="center" wrapText="1" shrinkToFit="1"/>
    </xf>
    <xf numFmtId="3" fontId="69" fillId="25" borderId="10" xfId="0" applyNumberFormat="1" applyFont="1" applyFill="1" applyBorder="1" applyAlignment="1">
      <alignment vertical="top" wrapText="1"/>
    </xf>
    <xf numFmtId="3" fontId="69" fillId="0" borderId="10" xfId="0" applyNumberFormat="1" applyFont="1" applyBorder="1" applyAlignment="1">
      <alignment vertical="top" wrapText="1"/>
    </xf>
    <xf numFmtId="1" fontId="4" fillId="0" borderId="10" xfId="0" applyNumberFormat="1" applyFont="1" applyBorder="1" applyAlignment="1">
      <alignment horizontal="left" vertical="center" wrapText="1" shrinkToFit="1"/>
    </xf>
    <xf numFmtId="3" fontId="17" fillId="0" borderId="10" xfId="0" applyNumberFormat="1" applyFont="1" applyBorder="1" applyAlignment="1">
      <alignment vertical="top" wrapText="1"/>
    </xf>
    <xf numFmtId="1" fontId="0" fillId="0" borderId="10" xfId="0" applyNumberFormat="1" applyFont="1" applyBorder="1" applyAlignment="1">
      <alignment vertical="center" wrapText="1" shrinkToFit="1"/>
    </xf>
    <xf numFmtId="3" fontId="14" fillId="0" borderId="10" xfId="0" applyNumberFormat="1" applyFont="1" applyBorder="1" applyAlignment="1">
      <alignment vertical="top" wrapText="1"/>
    </xf>
    <xf numFmtId="0" fontId="22"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1" fontId="34" fillId="0" borderId="10" xfId="0" applyNumberFormat="1" applyFont="1" applyBorder="1" applyAlignment="1">
      <alignment vertical="center" wrapText="1" shrinkToFit="1"/>
    </xf>
    <xf numFmtId="0" fontId="22" fillId="0" borderId="10"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4" fillId="0" borderId="10" xfId="0" applyFont="1" applyBorder="1" applyAlignment="1">
      <alignment vertical="center" wrapText="1"/>
    </xf>
    <xf numFmtId="0" fontId="0" fillId="26" borderId="10" xfId="0" applyFont="1" applyFill="1" applyBorder="1" applyAlignment="1">
      <alignment horizontal="center" vertical="center" shrinkToFit="1"/>
    </xf>
    <xf numFmtId="1" fontId="0" fillId="26" borderId="10" xfId="0" applyNumberFormat="1" applyFont="1" applyFill="1" applyBorder="1" applyAlignment="1">
      <alignment horizontal="center" vertical="center"/>
    </xf>
    <xf numFmtId="1" fontId="0" fillId="26" borderId="10" xfId="0" applyNumberFormat="1" applyFont="1" applyFill="1" applyBorder="1" applyAlignment="1">
      <alignment vertical="center" wrapText="1" shrinkToFit="1"/>
    </xf>
    <xf numFmtId="3" fontId="17" fillId="0" borderId="10" xfId="0" applyNumberFormat="1" applyFont="1" applyFill="1" applyBorder="1" applyAlignment="1">
      <alignment vertical="center" shrinkToFit="1"/>
    </xf>
    <xf numFmtId="3" fontId="0" fillId="0" borderId="10" xfId="0" applyNumberFormat="1" applyFont="1" applyBorder="1" applyAlignment="1">
      <alignment vertical="center" wrapText="1"/>
    </xf>
    <xf numFmtId="1" fontId="14" fillId="0" borderId="10" xfId="0" applyNumberFormat="1" applyFont="1" applyFill="1" applyBorder="1" applyAlignment="1">
      <alignment horizontal="center" vertical="center"/>
    </xf>
    <xf numFmtId="1" fontId="14" fillId="0" borderId="10" xfId="0" applyNumberFormat="1" applyFont="1" applyFill="1" applyBorder="1" applyAlignment="1">
      <alignment vertical="center" wrapText="1" shrinkToFit="1"/>
    </xf>
    <xf numFmtId="0" fontId="69" fillId="0" borderId="10" xfId="0" applyFont="1" applyFill="1" applyBorder="1" applyAlignment="1">
      <alignment horizontal="center" vertical="center" shrinkToFit="1"/>
    </xf>
    <xf numFmtId="1" fontId="14" fillId="0" borderId="10" xfId="0" applyNumberFormat="1" applyFont="1" applyFill="1" applyBorder="1" applyAlignment="1">
      <alignment horizontal="center" vertical="center"/>
    </xf>
    <xf numFmtId="0" fontId="4" fillId="26" borderId="10" xfId="0" applyFont="1" applyFill="1" applyBorder="1" applyAlignment="1">
      <alignment/>
    </xf>
    <xf numFmtId="1" fontId="14" fillId="0" borderId="10" xfId="0" applyNumberFormat="1" applyFont="1" applyBorder="1" applyAlignment="1">
      <alignment horizontal="center" vertical="center"/>
    </xf>
    <xf numFmtId="1" fontId="14" fillId="0" borderId="10" xfId="0" applyNumberFormat="1" applyFont="1" applyBorder="1" applyAlignment="1">
      <alignment vertical="center" wrapText="1" shrinkToFit="1"/>
    </xf>
    <xf numFmtId="3" fontId="14" fillId="0" borderId="10" xfId="0" applyNumberFormat="1" applyFont="1" applyFill="1" applyBorder="1" applyAlignment="1">
      <alignment vertical="center" shrinkToFit="1"/>
    </xf>
    <xf numFmtId="0" fontId="22" fillId="27" borderId="10" xfId="0" applyFont="1" applyFill="1" applyBorder="1" applyAlignment="1">
      <alignment horizontal="center" vertical="center" shrinkToFit="1"/>
    </xf>
    <xf numFmtId="0" fontId="22" fillId="26" borderId="10" xfId="0" applyFont="1" applyFill="1" applyBorder="1" applyAlignment="1">
      <alignment horizontal="center" vertical="center" shrinkToFit="1"/>
    </xf>
    <xf numFmtId="3" fontId="14" fillId="25" borderId="10" xfId="0" applyNumberFormat="1" applyFont="1" applyFill="1" applyBorder="1" applyAlignment="1">
      <alignment vertical="top" wrapText="1"/>
    </xf>
    <xf numFmtId="1" fontId="34" fillId="0" borderId="10" xfId="0" applyNumberFormat="1" applyFont="1" applyBorder="1" applyAlignment="1">
      <alignment horizontal="center" vertical="center"/>
    </xf>
    <xf numFmtId="0" fontId="0" fillId="0" borderId="10" xfId="0" applyFont="1" applyBorder="1" applyAlignment="1">
      <alignment horizontal="center"/>
    </xf>
    <xf numFmtId="3" fontId="0" fillId="0" borderId="10" xfId="0" applyNumberFormat="1" applyFont="1" applyFill="1" applyBorder="1" applyAlignment="1">
      <alignment/>
    </xf>
    <xf numFmtId="3" fontId="14" fillId="0" borderId="10" xfId="0" applyNumberFormat="1" applyFont="1" applyFill="1" applyBorder="1" applyAlignment="1">
      <alignment wrapText="1"/>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22" fillId="0" borderId="10" xfId="0" applyFont="1" applyBorder="1" applyAlignment="1">
      <alignment horizontal="center" vertical="center" shrinkToFit="1"/>
    </xf>
    <xf numFmtId="3" fontId="4" fillId="0" borderId="10" xfId="0" applyNumberFormat="1" applyFont="1" applyBorder="1" applyAlignment="1">
      <alignment vertical="top" wrapText="1"/>
    </xf>
    <xf numFmtId="3" fontId="0" fillId="0" borderId="10" xfId="0" applyNumberFormat="1" applyFont="1" applyBorder="1" applyAlignment="1">
      <alignment vertical="top" wrapText="1"/>
    </xf>
    <xf numFmtId="3" fontId="17" fillId="0" borderId="10" xfId="0" applyNumberFormat="1" applyFont="1" applyBorder="1" applyAlignment="1">
      <alignment horizontal="center" vertical="center" wrapText="1"/>
    </xf>
    <xf numFmtId="0" fontId="0" fillId="0" borderId="0" xfId="0" applyFont="1" applyAlignment="1">
      <alignment vertical="center"/>
    </xf>
    <xf numFmtId="3" fontId="0" fillId="25" borderId="0" xfId="0" applyNumberFormat="1" applyFont="1" applyFill="1" applyAlignment="1">
      <alignment vertical="center"/>
    </xf>
    <xf numFmtId="3" fontId="0" fillId="0" borderId="0" xfId="0" applyNumberFormat="1" applyFont="1" applyAlignment="1">
      <alignment vertical="center"/>
    </xf>
    <xf numFmtId="0" fontId="0" fillId="0" borderId="10" xfId="0" applyFont="1" applyBorder="1" applyAlignment="1">
      <alignment vertical="center"/>
    </xf>
    <xf numFmtId="0" fontId="4" fillId="0" borderId="10" xfId="0" applyFont="1" applyBorder="1" applyAlignment="1">
      <alignment vertical="center"/>
    </xf>
    <xf numFmtId="3" fontId="5" fillId="0" borderId="0" xfId="0" applyNumberFormat="1" applyFont="1" applyBorder="1" applyAlignment="1">
      <alignment/>
    </xf>
    <xf numFmtId="0" fontId="66" fillId="0" borderId="10" xfId="0" applyFont="1" applyBorder="1" applyAlignment="1">
      <alignment wrapText="1"/>
    </xf>
    <xf numFmtId="0" fontId="11" fillId="0" borderId="10" xfId="52" applyFont="1" applyBorder="1" applyAlignment="1">
      <alignment horizontal="center" vertical="center"/>
      <protection/>
    </xf>
    <xf numFmtId="0" fontId="11" fillId="0" borderId="10" xfId="52" applyFont="1" applyFill="1" applyBorder="1" applyAlignment="1">
      <alignment horizontal="center" vertical="center"/>
      <protection/>
    </xf>
    <xf numFmtId="0" fontId="10" fillId="0" borderId="10" xfId="52" applyFont="1" applyBorder="1" applyAlignment="1">
      <alignment horizontal="center" vertical="center"/>
      <protection/>
    </xf>
    <xf numFmtId="1" fontId="8" fillId="0" borderId="10" xfId="0" applyNumberFormat="1" applyFont="1" applyFill="1" applyBorder="1" applyAlignment="1">
      <alignment horizontal="left" vertical="center" wrapText="1" shrinkToFit="1"/>
    </xf>
    <xf numFmtId="3" fontId="4" fillId="20" borderId="10" xfId="0" applyNumberFormat="1" applyFont="1" applyFill="1" applyBorder="1" applyAlignment="1">
      <alignment horizontal="center" vertical="center" wrapText="1"/>
    </xf>
    <xf numFmtId="0" fontId="4" fillId="0" borderId="10" xfId="0" applyFont="1" applyBorder="1" applyAlignment="1">
      <alignment vertical="center"/>
    </xf>
    <xf numFmtId="0" fontId="30"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20" borderId="10" xfId="0" applyFont="1" applyFill="1" applyBorder="1" applyAlignment="1">
      <alignment horizontal="center" vertical="center" wrapText="1"/>
    </xf>
    <xf numFmtId="0" fontId="28" fillId="0" borderId="17"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8" xfId="0" applyFont="1" applyBorder="1" applyAlignment="1">
      <alignment horizontal="center" vertical="center" wrapText="1"/>
    </xf>
    <xf numFmtId="0" fontId="5" fillId="0" borderId="0" xfId="0" applyFont="1" applyAlignment="1">
      <alignment horizontal="center" vertical="center" wrapText="1"/>
    </xf>
    <xf numFmtId="0" fontId="21" fillId="20" borderId="18" xfId="0" applyFont="1" applyFill="1" applyBorder="1" applyAlignment="1">
      <alignment horizontal="center" vertical="center"/>
    </xf>
    <xf numFmtId="0" fontId="21" fillId="20" borderId="10" xfId="0" applyFont="1" applyFill="1" applyBorder="1" applyAlignment="1">
      <alignment horizontal="center" vertical="center"/>
    </xf>
    <xf numFmtId="0" fontId="21" fillId="20" borderId="10" xfId="0" applyFont="1" applyFill="1" applyBorder="1" applyAlignment="1">
      <alignment horizontal="center" vertical="center" wrapText="1"/>
    </xf>
    <xf numFmtId="0" fontId="28" fillId="20" borderId="10" xfId="0" applyFont="1" applyFill="1" applyBorder="1" applyAlignment="1">
      <alignment horizontal="center" vertical="center" wrapText="1"/>
    </xf>
    <xf numFmtId="0" fontId="8" fillId="20" borderId="14" xfId="0" applyFont="1" applyFill="1" applyBorder="1" applyAlignment="1">
      <alignment horizontal="center" vertical="center"/>
    </xf>
    <xf numFmtId="0" fontId="8" fillId="20" borderId="15" xfId="0" applyFont="1" applyFill="1" applyBorder="1" applyAlignment="1">
      <alignment horizontal="center" vertical="center"/>
    </xf>
    <xf numFmtId="0" fontId="8" fillId="20" borderId="16" xfId="0" applyFont="1" applyFill="1" applyBorder="1" applyAlignment="1">
      <alignment horizontal="center" vertical="center"/>
    </xf>
    <xf numFmtId="0" fontId="4" fillId="0" borderId="34" xfId="0" applyFont="1" applyBorder="1" applyAlignment="1">
      <alignment horizontal="left" vertical="center"/>
    </xf>
    <xf numFmtId="0" fontId="4" fillId="0" borderId="16" xfId="0" applyFont="1" applyBorder="1" applyAlignment="1">
      <alignment horizontal="left" vertical="center"/>
    </xf>
    <xf numFmtId="0" fontId="4" fillId="20" borderId="10"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3" fontId="4" fillId="20" borderId="35" xfId="0" applyNumberFormat="1" applyFont="1" applyFill="1" applyBorder="1" applyAlignment="1">
      <alignment horizontal="center" vertical="center" wrapText="1"/>
    </xf>
    <xf numFmtId="3" fontId="4" fillId="20" borderId="36" xfId="0" applyNumberFormat="1" applyFont="1" applyFill="1" applyBorder="1" applyAlignment="1">
      <alignment horizontal="center" vertical="center" wrapText="1"/>
    </xf>
    <xf numFmtId="3" fontId="4" fillId="20" borderId="29" xfId="0" applyNumberFormat="1" applyFont="1" applyFill="1" applyBorder="1" applyAlignment="1">
      <alignment horizontal="center" vertical="center" wrapText="1"/>
    </xf>
    <xf numFmtId="3" fontId="4" fillId="20" borderId="37" xfId="0" applyNumberFormat="1" applyFont="1" applyFill="1" applyBorder="1" applyAlignment="1">
      <alignment horizontal="center" vertical="center" wrapText="1"/>
    </xf>
    <xf numFmtId="3" fontId="4" fillId="20" borderId="38" xfId="0" applyNumberFormat="1" applyFont="1" applyFill="1" applyBorder="1" applyAlignment="1">
      <alignment horizontal="center" vertical="center" wrapText="1"/>
    </xf>
    <xf numFmtId="3" fontId="4" fillId="20" borderId="34"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18" xfId="0" applyFont="1" applyBorder="1" applyAlignment="1">
      <alignment horizontal="center" vertical="center"/>
    </xf>
    <xf numFmtId="0" fontId="5" fillId="0" borderId="0" xfId="0" applyFont="1" applyAlignment="1">
      <alignment horizont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3" fontId="17" fillId="20" borderId="10" xfId="0" applyNumberFormat="1"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5" fillId="0" borderId="0" xfId="0" applyFont="1" applyAlignment="1">
      <alignment horizontal="center" vertical="center"/>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0" fontId="4" fillId="20" borderId="18" xfId="0" applyFont="1" applyFill="1" applyBorder="1" applyAlignment="1">
      <alignment horizontal="center" vertical="center"/>
    </xf>
    <xf numFmtId="0" fontId="17" fillId="0" borderId="0" xfId="52" applyFont="1" applyAlignment="1">
      <alignment horizontal="center"/>
      <protection/>
    </xf>
    <xf numFmtId="0" fontId="10" fillId="20" borderId="10" xfId="52" applyFont="1" applyFill="1" applyBorder="1" applyAlignment="1">
      <alignment horizontal="center" vertical="center"/>
      <protection/>
    </xf>
    <xf numFmtId="0" fontId="10" fillId="20" borderId="10" xfId="52" applyFont="1" applyFill="1" applyBorder="1" applyAlignment="1">
      <alignment horizontal="center" vertical="center" wrapText="1"/>
      <protection/>
    </xf>
    <xf numFmtId="0" fontId="29" fillId="20" borderId="10" xfId="52" applyFont="1" applyFill="1" applyBorder="1" applyAlignment="1">
      <alignment horizontal="center" vertical="center" wrapText="1"/>
      <protection/>
    </xf>
    <xf numFmtId="0" fontId="10" fillId="25" borderId="10" xfId="52" applyFont="1" applyFill="1" applyBorder="1" applyAlignment="1">
      <alignment horizontal="center"/>
      <protection/>
    </xf>
    <xf numFmtId="0" fontId="11" fillId="0" borderId="10" xfId="52" applyFont="1" applyBorder="1" applyAlignment="1">
      <alignment horizontal="center" vertical="center"/>
      <protection/>
    </xf>
    <xf numFmtId="0" fontId="17" fillId="0" borderId="10" xfId="0" applyFont="1" applyBorder="1" applyAlignment="1">
      <alignment horizontal="center" wrapText="1"/>
    </xf>
    <xf numFmtId="0" fontId="35" fillId="0" borderId="10" xfId="0" applyFont="1" applyBorder="1" applyAlignment="1">
      <alignment horizontal="center" wrapText="1"/>
    </xf>
    <xf numFmtId="0" fontId="42" fillId="0" borderId="10" xfId="0" applyFont="1" applyBorder="1" applyAlignment="1">
      <alignment horizontal="center"/>
    </xf>
    <xf numFmtId="0" fontId="10" fillId="0" borderId="10" xfId="52" applyFont="1" applyBorder="1" applyAlignment="1">
      <alignment horizontal="center"/>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2"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2"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48" fillId="0" borderId="32" xfId="0" applyNumberFormat="1" applyFont="1" applyBorder="1" applyAlignment="1">
      <alignment horizontal="center"/>
    </xf>
    <xf numFmtId="4" fontId="48" fillId="0" borderId="18" xfId="0" applyNumberFormat="1" applyFont="1" applyBorder="1" applyAlignment="1">
      <alignment horizontal="center"/>
    </xf>
    <xf numFmtId="3" fontId="0" fillId="0" borderId="35" xfId="0" applyNumberFormat="1" applyBorder="1" applyAlignment="1">
      <alignment horizontal="center" wrapText="1"/>
    </xf>
    <xf numFmtId="3" fontId="0" fillId="0" borderId="29" xfId="0" applyNumberFormat="1" applyBorder="1" applyAlignment="1">
      <alignment horizontal="center" wrapText="1"/>
    </xf>
    <xf numFmtId="3" fontId="0" fillId="0" borderId="37" xfId="0" applyNumberFormat="1" applyBorder="1" applyAlignment="1">
      <alignment horizontal="center" wrapText="1"/>
    </xf>
    <xf numFmtId="3" fontId="0" fillId="0" borderId="34" xfId="0" applyNumberFormat="1" applyBorder="1" applyAlignment="1">
      <alignment horizontal="center" wrapText="1"/>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25" borderId="0" xfId="0" applyFont="1" applyFill="1" applyAlignment="1">
      <alignment horizontal="center" vertical="center"/>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Pulpi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8"/>
  <sheetViews>
    <sheetView zoomScale="75" zoomScaleNormal="75" zoomScalePageLayoutView="0" workbookViewId="0" topLeftCell="A1">
      <selection activeCell="C65" sqref="C65"/>
    </sheetView>
  </sheetViews>
  <sheetFormatPr defaultColWidth="9.00390625" defaultRowHeight="12.75"/>
  <cols>
    <col min="1" max="1" width="7.125" style="267" customWidth="1"/>
    <col min="2" max="2" width="7.25390625" style="327" customWidth="1"/>
    <col min="3" max="3" width="7.125" style="267" bestFit="1" customWidth="1"/>
    <col min="4" max="4" width="34.375" style="267" customWidth="1"/>
    <col min="5" max="5" width="14.125" style="267" customWidth="1"/>
    <col min="6" max="6" width="14.625" style="267" customWidth="1"/>
    <col min="7" max="7" width="16.25390625" style="267" customWidth="1"/>
    <col min="8" max="16384" width="9.125" style="267" customWidth="1"/>
  </cols>
  <sheetData>
    <row r="1" spans="2:5" ht="15.75">
      <c r="B1" s="592" t="s">
        <v>698</v>
      </c>
      <c r="C1" s="592"/>
      <c r="D1" s="592"/>
      <c r="E1" s="592"/>
    </row>
    <row r="2" spans="2:7" ht="15.75">
      <c r="B2" s="326"/>
      <c r="C2" s="268"/>
      <c r="D2" s="268"/>
      <c r="E2" s="269"/>
      <c r="F2" s="269"/>
      <c r="G2" s="269"/>
    </row>
    <row r="3" spans="5:7" ht="15">
      <c r="E3" s="270" t="s">
        <v>491</v>
      </c>
      <c r="F3" s="270"/>
      <c r="G3" s="270"/>
    </row>
    <row r="4" spans="1:7" ht="15" customHeight="1">
      <c r="A4" s="593" t="s">
        <v>437</v>
      </c>
      <c r="B4" s="593" t="s">
        <v>438</v>
      </c>
      <c r="C4" s="593" t="s">
        <v>439</v>
      </c>
      <c r="D4" s="593" t="s">
        <v>560</v>
      </c>
      <c r="E4" s="583" t="s">
        <v>586</v>
      </c>
      <c r="F4" s="584"/>
      <c r="G4" s="585"/>
    </row>
    <row r="5" spans="1:7" ht="15" customHeight="1">
      <c r="A5" s="594"/>
      <c r="B5" s="594"/>
      <c r="C5" s="595"/>
      <c r="D5" s="595"/>
      <c r="E5" s="586"/>
      <c r="F5" s="587"/>
      <c r="G5" s="588"/>
    </row>
    <row r="6" spans="1:7" ht="15" customHeight="1">
      <c r="A6" s="413"/>
      <c r="B6" s="413"/>
      <c r="C6" s="415"/>
      <c r="D6" s="415"/>
      <c r="E6" s="589" t="s">
        <v>590</v>
      </c>
      <c r="F6" s="590"/>
      <c r="G6" s="591"/>
    </row>
    <row r="7" spans="1:7" ht="25.5">
      <c r="A7" s="413"/>
      <c r="B7" s="413"/>
      <c r="C7" s="414"/>
      <c r="D7" s="416" t="s">
        <v>133</v>
      </c>
      <c r="E7" s="417" t="s">
        <v>683</v>
      </c>
      <c r="F7" s="417" t="s">
        <v>588</v>
      </c>
      <c r="G7" s="417" t="s">
        <v>589</v>
      </c>
    </row>
    <row r="8" spans="1:7" s="271" customFormat="1" ht="15">
      <c r="A8" s="418">
        <v>1</v>
      </c>
      <c r="B8" s="418">
        <v>2</v>
      </c>
      <c r="C8" s="418">
        <v>3</v>
      </c>
      <c r="D8" s="418">
        <v>4</v>
      </c>
      <c r="E8" s="419">
        <v>5</v>
      </c>
      <c r="F8" s="419">
        <v>6</v>
      </c>
      <c r="G8" s="419">
        <v>7</v>
      </c>
    </row>
    <row r="9" spans="1:7" ht="15">
      <c r="A9" s="420" t="s">
        <v>130</v>
      </c>
      <c r="B9" s="416" t="s">
        <v>131</v>
      </c>
      <c r="C9" s="420" t="s">
        <v>132</v>
      </c>
      <c r="D9" s="421"/>
      <c r="E9" s="422"/>
      <c r="F9" s="422"/>
      <c r="G9" s="422"/>
    </row>
    <row r="10" spans="1:7" s="272" customFormat="1" ht="19.5" customHeight="1">
      <c r="A10" s="423" t="s">
        <v>637</v>
      </c>
      <c r="B10" s="424"/>
      <c r="C10" s="423"/>
      <c r="D10" s="424" t="s">
        <v>638</v>
      </c>
      <c r="E10" s="425">
        <f>E11+E13</f>
        <v>25850</v>
      </c>
      <c r="F10" s="426">
        <f>F11+F13</f>
        <v>25850</v>
      </c>
      <c r="G10" s="426">
        <f>G11+G13</f>
        <v>0</v>
      </c>
    </row>
    <row r="11" spans="1:7" s="273" customFormat="1" ht="26.25">
      <c r="A11" s="427"/>
      <c r="B11" s="428" t="s">
        <v>639</v>
      </c>
      <c r="C11" s="427"/>
      <c r="D11" s="428" t="s">
        <v>134</v>
      </c>
      <c r="E11" s="429">
        <f>E12</f>
        <v>25000</v>
      </c>
      <c r="F11" s="430">
        <f>F12</f>
        <v>25000</v>
      </c>
      <c r="G11" s="430">
        <f>G12</f>
        <v>0</v>
      </c>
    </row>
    <row r="12" spans="1:7" s="274" customFormat="1" ht="64.5">
      <c r="A12" s="73"/>
      <c r="B12" s="74"/>
      <c r="C12" s="73">
        <v>2110</v>
      </c>
      <c r="D12" s="74" t="s">
        <v>135</v>
      </c>
      <c r="E12" s="431">
        <f>F12+G12</f>
        <v>25000</v>
      </c>
      <c r="F12" s="75">
        <v>25000</v>
      </c>
      <c r="G12" s="75"/>
    </row>
    <row r="13" spans="1:7" s="274" customFormat="1" ht="15.75">
      <c r="A13" s="432"/>
      <c r="B13" s="433" t="s">
        <v>136</v>
      </c>
      <c r="C13" s="432"/>
      <c r="D13" s="433" t="s">
        <v>265</v>
      </c>
      <c r="E13" s="195">
        <f>SUM(E14)</f>
        <v>850</v>
      </c>
      <c r="F13" s="106">
        <f>SUM(F14)</f>
        <v>850</v>
      </c>
      <c r="G13" s="106">
        <f>SUM(G14)</f>
        <v>0</v>
      </c>
    </row>
    <row r="14" spans="1:7" ht="63.75">
      <c r="A14" s="73"/>
      <c r="B14" s="74"/>
      <c r="C14" s="73">
        <v>2360</v>
      </c>
      <c r="D14" s="74" t="s">
        <v>137</v>
      </c>
      <c r="E14" s="431">
        <f>F14+G14</f>
        <v>850</v>
      </c>
      <c r="F14" s="434">
        <v>850</v>
      </c>
      <c r="G14" s="434"/>
    </row>
    <row r="15" spans="1:7" s="272" customFormat="1" ht="15.75">
      <c r="A15" s="423" t="s">
        <v>642</v>
      </c>
      <c r="B15" s="424"/>
      <c r="C15" s="423"/>
      <c r="D15" s="424" t="s">
        <v>643</v>
      </c>
      <c r="E15" s="425">
        <f aca="true" t="shared" si="0" ref="E15:G16">E16</f>
        <v>285000</v>
      </c>
      <c r="F15" s="426">
        <f t="shared" si="0"/>
        <v>285000</v>
      </c>
      <c r="G15" s="426">
        <f t="shared" si="0"/>
        <v>0</v>
      </c>
    </row>
    <row r="16" spans="1:7" s="273" customFormat="1" ht="15.75">
      <c r="A16" s="423"/>
      <c r="B16" s="428" t="s">
        <v>644</v>
      </c>
      <c r="C16" s="427"/>
      <c r="D16" s="428" t="s">
        <v>645</v>
      </c>
      <c r="E16" s="429">
        <f t="shared" si="0"/>
        <v>285000</v>
      </c>
      <c r="F16" s="430">
        <f t="shared" si="0"/>
        <v>285000</v>
      </c>
      <c r="G16" s="430">
        <f t="shared" si="0"/>
        <v>0</v>
      </c>
    </row>
    <row r="17" spans="1:7" ht="63.75">
      <c r="A17" s="73"/>
      <c r="B17" s="74"/>
      <c r="C17" s="329">
        <v>2700</v>
      </c>
      <c r="D17" s="74" t="s">
        <v>591</v>
      </c>
      <c r="E17" s="431">
        <f>F17+G17</f>
        <v>285000</v>
      </c>
      <c r="F17" s="422">
        <v>285000</v>
      </c>
      <c r="G17" s="422"/>
    </row>
    <row r="18" spans="1:7" ht="15">
      <c r="A18" s="435">
        <v>600</v>
      </c>
      <c r="B18" s="435"/>
      <c r="C18" s="436"/>
      <c r="D18" s="437" t="s">
        <v>650</v>
      </c>
      <c r="E18" s="438">
        <f>SUM(E19)</f>
        <v>6474584</v>
      </c>
      <c r="F18" s="439">
        <f>SUM(F19)</f>
        <v>0</v>
      </c>
      <c r="G18" s="440">
        <f>SUM(G19)</f>
        <v>6474584</v>
      </c>
    </row>
    <row r="19" spans="1:7" ht="15">
      <c r="A19" s="442"/>
      <c r="B19" s="442">
        <v>60014</v>
      </c>
      <c r="C19" s="443"/>
      <c r="D19" s="444" t="s">
        <v>651</v>
      </c>
      <c r="E19" s="195">
        <f>SUM(E21:E28)</f>
        <v>6474584</v>
      </c>
      <c r="F19" s="106">
        <f>SUM(F20:F28)</f>
        <v>0</v>
      </c>
      <c r="G19" s="106">
        <f>SUM(G20:G28)</f>
        <v>6474584</v>
      </c>
    </row>
    <row r="20" spans="1:7" ht="51" hidden="1">
      <c r="A20" s="445"/>
      <c r="B20" s="445"/>
      <c r="C20" s="446">
        <v>2310</v>
      </c>
      <c r="D20" s="63" t="s">
        <v>417</v>
      </c>
      <c r="E20" s="431">
        <f>F20+G20</f>
        <v>0</v>
      </c>
      <c r="F20" s="422"/>
      <c r="G20" s="422"/>
    </row>
    <row r="21" spans="1:7" ht="15" hidden="1">
      <c r="A21" s="73"/>
      <c r="B21" s="74"/>
      <c r="C21" s="447">
        <v>6208</v>
      </c>
      <c r="D21" s="448" t="s">
        <v>401</v>
      </c>
      <c r="E21" s="431">
        <f>F21+G21</f>
        <v>0</v>
      </c>
      <c r="F21" s="449"/>
      <c r="G21" s="450"/>
    </row>
    <row r="22" spans="1:7" ht="15" hidden="1">
      <c r="A22" s="73"/>
      <c r="B22" s="74"/>
      <c r="C22" s="451">
        <v>6209</v>
      </c>
      <c r="D22" s="448" t="s">
        <v>400</v>
      </c>
      <c r="E22" s="431">
        <f>F22+G22</f>
        <v>0</v>
      </c>
      <c r="F22" s="449"/>
      <c r="G22" s="450"/>
    </row>
    <row r="23" spans="1:7" ht="15" hidden="1">
      <c r="A23" s="452"/>
      <c r="B23" s="452"/>
      <c r="C23" s="453"/>
      <c r="D23" s="454"/>
      <c r="E23" s="431"/>
      <c r="F23" s="422"/>
      <c r="G23" s="422"/>
    </row>
    <row r="24" spans="1:7" ht="63.75">
      <c r="A24" s="445"/>
      <c r="B24" s="445"/>
      <c r="C24" s="446">
        <v>6290</v>
      </c>
      <c r="D24" s="455" t="s">
        <v>730</v>
      </c>
      <c r="E24" s="431">
        <f>F24+G24</f>
        <v>4365000</v>
      </c>
      <c r="F24" s="422"/>
      <c r="G24" s="455">
        <v>4365000</v>
      </c>
    </row>
    <row r="25" spans="1:7" ht="76.5">
      <c r="A25" s="445"/>
      <c r="B25" s="445"/>
      <c r="C25" s="456">
        <v>6300</v>
      </c>
      <c r="D25" s="63" t="s">
        <v>7</v>
      </c>
      <c r="E25" s="431">
        <f>F25+G25</f>
        <v>1026300</v>
      </c>
      <c r="F25" s="422"/>
      <c r="G25" s="457">
        <f>66000+463100+497200</f>
        <v>1026300</v>
      </c>
    </row>
    <row r="26" spans="1:8" ht="64.5">
      <c r="A26" s="445"/>
      <c r="B26" s="445"/>
      <c r="C26" s="446">
        <v>6610</v>
      </c>
      <c r="D26" s="336" t="s">
        <v>389</v>
      </c>
      <c r="E26" s="431">
        <f>F26+G26</f>
        <v>1083284</v>
      </c>
      <c r="F26" s="457"/>
      <c r="G26" s="457">
        <f>1083284</f>
        <v>1083284</v>
      </c>
      <c r="H26" s="275"/>
    </row>
    <row r="27" spans="1:8" ht="64.5" hidden="1">
      <c r="A27" s="445"/>
      <c r="B27" s="445"/>
      <c r="C27" s="446">
        <v>6610</v>
      </c>
      <c r="D27" s="63" t="s">
        <v>389</v>
      </c>
      <c r="E27" s="431">
        <f>F27+G27</f>
        <v>0</v>
      </c>
      <c r="F27" s="457"/>
      <c r="G27" s="457"/>
      <c r="H27" s="275"/>
    </row>
    <row r="28" spans="1:8" ht="39" hidden="1">
      <c r="A28" s="445"/>
      <c r="B28" s="445"/>
      <c r="C28" s="446">
        <v>6430</v>
      </c>
      <c r="D28" s="74" t="s">
        <v>575</v>
      </c>
      <c r="E28" s="431">
        <f>F28+G28</f>
        <v>0</v>
      </c>
      <c r="F28" s="457"/>
      <c r="G28" s="457"/>
      <c r="H28" s="275"/>
    </row>
    <row r="29" spans="1:7" s="272" customFormat="1" ht="15.75">
      <c r="A29" s="423">
        <v>700</v>
      </c>
      <c r="B29" s="424"/>
      <c r="C29" s="423"/>
      <c r="D29" s="424" t="s">
        <v>674</v>
      </c>
      <c r="E29" s="425">
        <f>SUM(E30)</f>
        <v>1613500</v>
      </c>
      <c r="F29" s="426">
        <f>F30</f>
        <v>1613500</v>
      </c>
      <c r="G29" s="426">
        <f>G30</f>
        <v>0</v>
      </c>
    </row>
    <row r="30" spans="1:7" s="273" customFormat="1" ht="26.25">
      <c r="A30" s="427"/>
      <c r="B30" s="428">
        <v>70005</v>
      </c>
      <c r="C30" s="427"/>
      <c r="D30" s="428" t="s">
        <v>675</v>
      </c>
      <c r="E30" s="429">
        <f>SUM(E31:E35)</f>
        <v>1613500</v>
      </c>
      <c r="F30" s="430">
        <f>SUM(F31:F35)</f>
        <v>1613500</v>
      </c>
      <c r="G30" s="430">
        <f>SUM(G31:G35)</f>
        <v>0</v>
      </c>
    </row>
    <row r="31" spans="1:7" ht="89.25">
      <c r="A31" s="73"/>
      <c r="B31" s="74"/>
      <c r="C31" s="73" t="s">
        <v>139</v>
      </c>
      <c r="D31" s="74" t="s">
        <v>140</v>
      </c>
      <c r="E31" s="431">
        <f>F31+G31</f>
        <v>1331500</v>
      </c>
      <c r="F31" s="434">
        <v>1331500</v>
      </c>
      <c r="G31" s="434"/>
    </row>
    <row r="32" spans="1:7" ht="63.75">
      <c r="A32" s="73"/>
      <c r="B32" s="74"/>
      <c r="C32" s="73">
        <v>2110</v>
      </c>
      <c r="D32" s="74" t="s">
        <v>135</v>
      </c>
      <c r="E32" s="431">
        <f>F32+G32</f>
        <v>111000</v>
      </c>
      <c r="F32" s="434">
        <v>111000</v>
      </c>
      <c r="G32" s="434"/>
    </row>
    <row r="33" spans="1:7" ht="63.75">
      <c r="A33" s="73"/>
      <c r="B33" s="74"/>
      <c r="C33" s="73">
        <v>2360</v>
      </c>
      <c r="D33" s="74" t="s">
        <v>137</v>
      </c>
      <c r="E33" s="431">
        <f>F33+G33</f>
        <v>160000</v>
      </c>
      <c r="F33" s="434">
        <v>160000</v>
      </c>
      <c r="G33" s="434"/>
    </row>
    <row r="34" spans="1:7" ht="25.5">
      <c r="A34" s="73"/>
      <c r="B34" s="74"/>
      <c r="C34" s="73" t="s">
        <v>226</v>
      </c>
      <c r="D34" s="74" t="s">
        <v>266</v>
      </c>
      <c r="E34" s="431">
        <f>F34+G34</f>
        <v>10000</v>
      </c>
      <c r="F34" s="434">
        <v>10000</v>
      </c>
      <c r="G34" s="434"/>
    </row>
    <row r="35" spans="1:7" ht="15">
      <c r="A35" s="73"/>
      <c r="B35" s="74"/>
      <c r="C35" s="330" t="s">
        <v>408</v>
      </c>
      <c r="D35" s="296" t="s">
        <v>415</v>
      </c>
      <c r="E35" s="431">
        <f>F35+G35</f>
        <v>1000</v>
      </c>
      <c r="F35" s="434">
        <v>1000</v>
      </c>
      <c r="G35" s="434"/>
    </row>
    <row r="36" spans="1:7" s="272" customFormat="1" ht="15.75">
      <c r="A36" s="423">
        <v>710</v>
      </c>
      <c r="B36" s="424"/>
      <c r="C36" s="423"/>
      <c r="D36" s="424" t="s">
        <v>686</v>
      </c>
      <c r="E36" s="458">
        <f>SUM(E37+E39+E41)</f>
        <v>527900</v>
      </c>
      <c r="F36" s="459">
        <f>SUM(F37+F39+F41)</f>
        <v>527900</v>
      </c>
      <c r="G36" s="459">
        <f>SUM(G37+G39+G41)</f>
        <v>0</v>
      </c>
    </row>
    <row r="37" spans="1:7" s="273" customFormat="1" ht="15.75">
      <c r="A37" s="427"/>
      <c r="B37" s="428">
        <v>71013</v>
      </c>
      <c r="C37" s="427"/>
      <c r="D37" s="428" t="s">
        <v>141</v>
      </c>
      <c r="E37" s="460">
        <f>E38</f>
        <v>70000</v>
      </c>
      <c r="F37" s="461">
        <f>F38</f>
        <v>70000</v>
      </c>
      <c r="G37" s="461">
        <f>G38</f>
        <v>0</v>
      </c>
    </row>
    <row r="38" spans="1:7" ht="63.75">
      <c r="A38" s="73"/>
      <c r="B38" s="74"/>
      <c r="C38" s="73">
        <v>2110</v>
      </c>
      <c r="D38" s="74" t="s">
        <v>135</v>
      </c>
      <c r="E38" s="431">
        <f>F38+G38</f>
        <v>70000</v>
      </c>
      <c r="F38" s="434">
        <v>70000</v>
      </c>
      <c r="G38" s="434"/>
    </row>
    <row r="39" spans="1:7" s="273" customFormat="1" ht="26.25">
      <c r="A39" s="427"/>
      <c r="B39" s="428">
        <v>71014</v>
      </c>
      <c r="C39" s="427"/>
      <c r="D39" s="428" t="s">
        <v>142</v>
      </c>
      <c r="E39" s="460">
        <f>E40</f>
        <v>4900</v>
      </c>
      <c r="F39" s="461">
        <f>F40</f>
        <v>4900</v>
      </c>
      <c r="G39" s="461">
        <f>G40</f>
        <v>0</v>
      </c>
    </row>
    <row r="40" spans="1:7" ht="63.75">
      <c r="A40" s="73"/>
      <c r="B40" s="74"/>
      <c r="C40" s="73">
        <v>2110</v>
      </c>
      <c r="D40" s="74" t="s">
        <v>135</v>
      </c>
      <c r="E40" s="431">
        <f>F40+G40</f>
        <v>4900</v>
      </c>
      <c r="F40" s="434">
        <v>4900</v>
      </c>
      <c r="G40" s="434"/>
    </row>
    <row r="41" spans="1:7" s="273" customFormat="1" ht="15.75">
      <c r="A41" s="427"/>
      <c r="B41" s="428">
        <v>71015</v>
      </c>
      <c r="C41" s="427"/>
      <c r="D41" s="428" t="s">
        <v>20</v>
      </c>
      <c r="E41" s="460">
        <f>E42</f>
        <v>453000</v>
      </c>
      <c r="F41" s="461">
        <f>F42</f>
        <v>453000</v>
      </c>
      <c r="G41" s="461">
        <f>G42</f>
        <v>0</v>
      </c>
    </row>
    <row r="42" spans="1:7" ht="63.75">
      <c r="A42" s="427"/>
      <c r="B42" s="428"/>
      <c r="C42" s="73">
        <v>2110</v>
      </c>
      <c r="D42" s="74" t="s">
        <v>135</v>
      </c>
      <c r="E42" s="431">
        <f>F42+G42</f>
        <v>453000</v>
      </c>
      <c r="F42" s="434">
        <v>453000</v>
      </c>
      <c r="G42" s="434"/>
    </row>
    <row r="43" spans="1:7" s="272" customFormat="1" ht="15.75">
      <c r="A43" s="423">
        <v>750</v>
      </c>
      <c r="B43" s="424"/>
      <c r="C43" s="423"/>
      <c r="D43" s="424" t="s">
        <v>143</v>
      </c>
      <c r="E43" s="458">
        <f>SUM(E44+E46+E52)</f>
        <v>2339200</v>
      </c>
      <c r="F43" s="459">
        <f>SUM(F44+F46+F52)</f>
        <v>2339200</v>
      </c>
      <c r="G43" s="459">
        <f>SUM(G44+G46+G52)</f>
        <v>0</v>
      </c>
    </row>
    <row r="44" spans="1:7" s="273" customFormat="1" ht="15.75">
      <c r="A44" s="427"/>
      <c r="B44" s="428">
        <v>75011</v>
      </c>
      <c r="C44" s="427"/>
      <c r="D44" s="428" t="s">
        <v>144</v>
      </c>
      <c r="E44" s="460">
        <f>E45</f>
        <v>320100</v>
      </c>
      <c r="F44" s="461">
        <f>F45</f>
        <v>320100</v>
      </c>
      <c r="G44" s="461">
        <f>G45</f>
        <v>0</v>
      </c>
    </row>
    <row r="45" spans="1:7" ht="63.75">
      <c r="A45" s="73"/>
      <c r="B45" s="74"/>
      <c r="C45" s="73">
        <v>2110</v>
      </c>
      <c r="D45" s="74" t="s">
        <v>135</v>
      </c>
      <c r="E45" s="431">
        <f>F45+G45</f>
        <v>320100</v>
      </c>
      <c r="F45" s="434">
        <v>320100</v>
      </c>
      <c r="G45" s="434"/>
    </row>
    <row r="46" spans="1:7" s="273" customFormat="1" ht="15.75">
      <c r="A46" s="427"/>
      <c r="B46" s="428">
        <v>75020</v>
      </c>
      <c r="C46" s="427"/>
      <c r="D46" s="428" t="s">
        <v>115</v>
      </c>
      <c r="E46" s="460">
        <f>SUM(E47:E51)</f>
        <v>1953000</v>
      </c>
      <c r="F46" s="461">
        <f>SUM(F47:F51)</f>
        <v>1953000</v>
      </c>
      <c r="G46" s="461">
        <f>SUM(G47:G51)</f>
        <v>0</v>
      </c>
    </row>
    <row r="47" spans="1:7" ht="15">
      <c r="A47" s="73"/>
      <c r="B47" s="74"/>
      <c r="C47" s="73" t="s">
        <v>145</v>
      </c>
      <c r="D47" s="74" t="s">
        <v>146</v>
      </c>
      <c r="E47" s="431">
        <f>F47+G47</f>
        <v>1928000</v>
      </c>
      <c r="F47" s="434">
        <v>1928000</v>
      </c>
      <c r="G47" s="434"/>
    </row>
    <row r="48" spans="1:7" ht="25.5">
      <c r="A48" s="73"/>
      <c r="B48" s="74"/>
      <c r="C48" s="73" t="s">
        <v>147</v>
      </c>
      <c r="D48" s="74" t="s">
        <v>148</v>
      </c>
      <c r="E48" s="431">
        <f>F48+G48</f>
        <v>15000</v>
      </c>
      <c r="F48" s="434">
        <v>15000</v>
      </c>
      <c r="G48" s="434"/>
    </row>
    <row r="49" spans="1:7" ht="15">
      <c r="A49" s="73"/>
      <c r="B49" s="74"/>
      <c r="C49" s="73" t="s">
        <v>149</v>
      </c>
      <c r="D49" s="74" t="s">
        <v>731</v>
      </c>
      <c r="E49" s="431">
        <f>F49+G49</f>
        <v>1000</v>
      </c>
      <c r="F49" s="434">
        <v>1000</v>
      </c>
      <c r="G49" s="434"/>
    </row>
    <row r="50" spans="1:7" ht="15">
      <c r="A50" s="73"/>
      <c r="B50" s="74"/>
      <c r="C50" s="73" t="s">
        <v>413</v>
      </c>
      <c r="D50" s="74" t="s">
        <v>414</v>
      </c>
      <c r="E50" s="431">
        <f>F50+G50</f>
        <v>7000</v>
      </c>
      <c r="F50" s="434">
        <v>7000</v>
      </c>
      <c r="G50" s="434"/>
    </row>
    <row r="51" spans="1:7" ht="15">
      <c r="A51" s="73"/>
      <c r="B51" s="74"/>
      <c r="C51" s="73" t="s">
        <v>408</v>
      </c>
      <c r="D51" s="74" t="s">
        <v>409</v>
      </c>
      <c r="E51" s="431">
        <f>F51+G51</f>
        <v>2000</v>
      </c>
      <c r="F51" s="434">
        <v>2000</v>
      </c>
      <c r="G51" s="434"/>
    </row>
    <row r="52" spans="1:7" s="273" customFormat="1" ht="15.75">
      <c r="A52" s="427"/>
      <c r="B52" s="428">
        <v>75045</v>
      </c>
      <c r="C52" s="427"/>
      <c r="D52" s="428" t="s">
        <v>13</v>
      </c>
      <c r="E52" s="460">
        <f>SUM(E53:E54)</f>
        <v>66100</v>
      </c>
      <c r="F52" s="237">
        <f>E52</f>
        <v>66100</v>
      </c>
      <c r="G52" s="461">
        <f>SUM(G53:G54)</f>
        <v>0</v>
      </c>
    </row>
    <row r="53" spans="1:7" ht="63.75">
      <c r="A53" s="73"/>
      <c r="B53" s="74"/>
      <c r="C53" s="73">
        <v>2110</v>
      </c>
      <c r="D53" s="74" t="s">
        <v>135</v>
      </c>
      <c r="E53" s="431">
        <f>F53+G53</f>
        <v>37500</v>
      </c>
      <c r="F53" s="434">
        <v>37500</v>
      </c>
      <c r="G53" s="434"/>
    </row>
    <row r="54" spans="1:7" ht="63.75">
      <c r="A54" s="462"/>
      <c r="B54" s="463"/>
      <c r="C54" s="462">
        <v>2120</v>
      </c>
      <c r="D54" s="463" t="s">
        <v>151</v>
      </c>
      <c r="E54" s="431">
        <f>F54+G54</f>
        <v>28600</v>
      </c>
      <c r="F54" s="434">
        <v>28600</v>
      </c>
      <c r="G54" s="464"/>
    </row>
    <row r="55" spans="1:7" s="272" customFormat="1" ht="15.75">
      <c r="A55" s="423">
        <v>752</v>
      </c>
      <c r="B55" s="424"/>
      <c r="C55" s="423"/>
      <c r="D55" s="424" t="s">
        <v>274</v>
      </c>
      <c r="E55" s="458">
        <f>SUM(E56)</f>
        <v>3000</v>
      </c>
      <c r="F55" s="459">
        <f>SUM(F56)</f>
        <v>3000</v>
      </c>
      <c r="G55" s="459">
        <f>SUM(G56+G58+G66)</f>
        <v>0</v>
      </c>
    </row>
    <row r="56" spans="1:7" s="273" customFormat="1" ht="15.75">
      <c r="A56" s="427"/>
      <c r="B56" s="428">
        <v>75212</v>
      </c>
      <c r="C56" s="427"/>
      <c r="D56" s="428" t="s">
        <v>275</v>
      </c>
      <c r="E56" s="460">
        <f>E57</f>
        <v>3000</v>
      </c>
      <c r="F56" s="461">
        <f>F57</f>
        <v>3000</v>
      </c>
      <c r="G56" s="461">
        <f>G57</f>
        <v>0</v>
      </c>
    </row>
    <row r="57" spans="1:7" ht="63.75">
      <c r="A57" s="73"/>
      <c r="B57" s="74"/>
      <c r="C57" s="73">
        <v>2110</v>
      </c>
      <c r="D57" s="74" t="s">
        <v>135</v>
      </c>
      <c r="E57" s="431">
        <f>F57+G57</f>
        <v>3000</v>
      </c>
      <c r="F57" s="434">
        <v>3000</v>
      </c>
      <c r="G57" s="434"/>
    </row>
    <row r="58" spans="1:7" s="276" customFormat="1" ht="51.75">
      <c r="A58" s="423">
        <v>756</v>
      </c>
      <c r="B58" s="424"/>
      <c r="C58" s="423"/>
      <c r="D58" s="424" t="s">
        <v>152</v>
      </c>
      <c r="E58" s="458">
        <f>E59+E63</f>
        <v>9920000</v>
      </c>
      <c r="F58" s="465">
        <f>F59+F63</f>
        <v>9920000</v>
      </c>
      <c r="G58" s="465">
        <f>G59+G63</f>
        <v>0</v>
      </c>
    </row>
    <row r="59" spans="1:7" s="273" customFormat="1" ht="26.25">
      <c r="A59" s="427"/>
      <c r="B59" s="428">
        <v>75622</v>
      </c>
      <c r="C59" s="427"/>
      <c r="D59" s="428" t="s">
        <v>153</v>
      </c>
      <c r="E59" s="460">
        <f>SUM(E60:E62)</f>
        <v>9840000</v>
      </c>
      <c r="F59" s="461">
        <f>SUM(F60:F62)</f>
        <v>9840000</v>
      </c>
      <c r="G59" s="461">
        <f>SUM(G60:G62)</f>
        <v>0</v>
      </c>
    </row>
    <row r="60" spans="1:7" ht="15">
      <c r="A60" s="427"/>
      <c r="B60" s="428"/>
      <c r="C60" s="427"/>
      <c r="D60" s="428" t="s">
        <v>154</v>
      </c>
      <c r="E60" s="466"/>
      <c r="F60" s="434"/>
      <c r="G60" s="434"/>
    </row>
    <row r="61" spans="1:7" ht="25.5">
      <c r="A61" s="73"/>
      <c r="B61" s="74"/>
      <c r="C61" s="73" t="s">
        <v>155</v>
      </c>
      <c r="D61" s="74" t="s">
        <v>156</v>
      </c>
      <c r="E61" s="431">
        <f>F61+G61</f>
        <v>9700000</v>
      </c>
      <c r="F61" s="434">
        <v>9700000</v>
      </c>
      <c r="G61" s="434"/>
    </row>
    <row r="62" spans="1:7" ht="15">
      <c r="A62" s="73"/>
      <c r="B62" s="74"/>
      <c r="C62" s="73" t="s">
        <v>157</v>
      </c>
      <c r="D62" s="74" t="s">
        <v>158</v>
      </c>
      <c r="E62" s="431">
        <f>F62+G62</f>
        <v>140000</v>
      </c>
      <c r="F62" s="434">
        <v>140000</v>
      </c>
      <c r="G62" s="434"/>
    </row>
    <row r="63" spans="1:7" ht="51">
      <c r="A63" s="73"/>
      <c r="B63" s="433">
        <v>75618</v>
      </c>
      <c r="C63" s="73"/>
      <c r="D63" s="43" t="s">
        <v>732</v>
      </c>
      <c r="E63" s="431">
        <f>F63+G63</f>
        <v>80000</v>
      </c>
      <c r="F63" s="237">
        <f>SUM(F64)</f>
        <v>80000</v>
      </c>
      <c r="G63" s="434">
        <f>SUM(G64)</f>
        <v>0</v>
      </c>
    </row>
    <row r="64" spans="1:7" ht="51">
      <c r="A64" s="73"/>
      <c r="B64" s="74"/>
      <c r="C64" s="73" t="s">
        <v>244</v>
      </c>
      <c r="D64" s="336" t="s">
        <v>733</v>
      </c>
      <c r="E64" s="458">
        <f>SUM(E65+E67+E69+E71+E73)</f>
        <v>48290364</v>
      </c>
      <c r="F64" s="450">
        <v>80000</v>
      </c>
      <c r="G64" s="450"/>
    </row>
    <row r="65" spans="1:7" s="272" customFormat="1" ht="15.75">
      <c r="A65" s="423">
        <v>758</v>
      </c>
      <c r="B65" s="424"/>
      <c r="C65" s="423"/>
      <c r="D65" s="424" t="s">
        <v>54</v>
      </c>
      <c r="E65" s="458">
        <f>SUM(E66+E68+E70+E72+E74)</f>
        <v>24232682</v>
      </c>
      <c r="F65" s="459">
        <f>SUM(F66+F68+F70+F72+F74)</f>
        <v>24232682</v>
      </c>
      <c r="G65" s="459">
        <f>SUM(G66+G70+G72+G74+G68)</f>
        <v>0</v>
      </c>
    </row>
    <row r="66" spans="1:7" s="273" customFormat="1" ht="39">
      <c r="A66" s="427"/>
      <c r="B66" s="428">
        <v>75801</v>
      </c>
      <c r="C66" s="427"/>
      <c r="D66" s="428" t="s">
        <v>159</v>
      </c>
      <c r="E66" s="460">
        <f>E67</f>
        <v>15933844</v>
      </c>
      <c r="F66" s="461">
        <f>F67</f>
        <v>15933844</v>
      </c>
      <c r="G66" s="461">
        <f>G67</f>
        <v>0</v>
      </c>
    </row>
    <row r="67" spans="1:7" ht="15">
      <c r="A67" s="73"/>
      <c r="B67" s="74"/>
      <c r="C67" s="73">
        <v>2920</v>
      </c>
      <c r="D67" s="74" t="s">
        <v>160</v>
      </c>
      <c r="E67" s="431">
        <f>F67+G67</f>
        <v>15933844</v>
      </c>
      <c r="F67" s="434">
        <v>15933844</v>
      </c>
      <c r="G67" s="434"/>
    </row>
    <row r="68" spans="1:7" ht="25.5" hidden="1">
      <c r="A68" s="73"/>
      <c r="B68" s="428">
        <v>75802</v>
      </c>
      <c r="C68" s="73"/>
      <c r="D68" s="428" t="s">
        <v>38</v>
      </c>
      <c r="E68" s="460">
        <f>E69</f>
        <v>0</v>
      </c>
      <c r="F68" s="461">
        <f>F69</f>
        <v>0</v>
      </c>
      <c r="G68" s="461">
        <f>G69</f>
        <v>0</v>
      </c>
    </row>
    <row r="69" spans="1:7" ht="89.25" hidden="1">
      <c r="A69" s="73"/>
      <c r="B69" s="74"/>
      <c r="C69" s="467">
        <v>6180</v>
      </c>
      <c r="D69" s="74" t="s">
        <v>39</v>
      </c>
      <c r="E69" s="431">
        <f>F69+G69</f>
        <v>0</v>
      </c>
      <c r="F69" s="434"/>
      <c r="G69" s="434"/>
    </row>
    <row r="70" spans="1:7" s="273" customFormat="1" ht="26.25">
      <c r="A70" s="427"/>
      <c r="B70" s="428">
        <v>75803</v>
      </c>
      <c r="C70" s="427"/>
      <c r="D70" s="428" t="s">
        <v>161</v>
      </c>
      <c r="E70" s="460">
        <f>E71</f>
        <v>6613496</v>
      </c>
      <c r="F70" s="461">
        <f>F71</f>
        <v>6613496</v>
      </c>
      <c r="G70" s="461">
        <f>G71</f>
        <v>0</v>
      </c>
    </row>
    <row r="71" spans="1:7" ht="15">
      <c r="A71" s="73"/>
      <c r="B71" s="74"/>
      <c r="C71" s="73">
        <v>2920</v>
      </c>
      <c r="D71" s="74" t="s">
        <v>160</v>
      </c>
      <c r="E71" s="431">
        <f>F71+G71</f>
        <v>6613496</v>
      </c>
      <c r="F71" s="434">
        <v>6613496</v>
      </c>
      <c r="G71" s="434"/>
    </row>
    <row r="72" spans="1:7" s="273" customFormat="1" ht="26.25">
      <c r="A72" s="427"/>
      <c r="B72" s="428">
        <v>75832</v>
      </c>
      <c r="C72" s="427"/>
      <c r="D72" s="428" t="s">
        <v>162</v>
      </c>
      <c r="E72" s="460">
        <f>E73</f>
        <v>1510342</v>
      </c>
      <c r="F72" s="461">
        <f>F73</f>
        <v>1510342</v>
      </c>
      <c r="G72" s="461">
        <f>G73</f>
        <v>0</v>
      </c>
    </row>
    <row r="73" spans="1:7" ht="15">
      <c r="A73" s="73"/>
      <c r="B73" s="74"/>
      <c r="C73" s="73">
        <v>2920</v>
      </c>
      <c r="D73" s="74" t="s">
        <v>160</v>
      </c>
      <c r="E73" s="431">
        <f>F73+G73</f>
        <v>1510342</v>
      </c>
      <c r="F73" s="434">
        <v>1510342</v>
      </c>
      <c r="G73" s="434"/>
    </row>
    <row r="74" spans="1:7" s="273" customFormat="1" ht="15.75">
      <c r="A74" s="427"/>
      <c r="B74" s="428">
        <v>75814</v>
      </c>
      <c r="C74" s="427"/>
      <c r="D74" s="428" t="s">
        <v>163</v>
      </c>
      <c r="E74" s="460">
        <f>SUM(E75:E77)</f>
        <v>175000</v>
      </c>
      <c r="F74" s="461">
        <f>SUM(F75:F77)</f>
        <v>175000</v>
      </c>
      <c r="G74" s="461">
        <f>SUM(G75:G77)</f>
        <v>0</v>
      </c>
    </row>
    <row r="75" spans="1:7" s="273" customFormat="1" ht="39" hidden="1">
      <c r="A75" s="468"/>
      <c r="B75" s="469"/>
      <c r="C75" s="468" t="s">
        <v>244</v>
      </c>
      <c r="D75" s="469" t="s">
        <v>412</v>
      </c>
      <c r="E75" s="431">
        <f>F75+G75</f>
        <v>0</v>
      </c>
      <c r="F75" s="434"/>
      <c r="G75" s="434"/>
    </row>
    <row r="76" spans="1:7" s="273" customFormat="1" ht="15.75">
      <c r="A76" s="468"/>
      <c r="B76" s="469"/>
      <c r="C76" s="73" t="s">
        <v>413</v>
      </c>
      <c r="D76" s="74" t="s">
        <v>414</v>
      </c>
      <c r="E76" s="431">
        <f>F76+G76</f>
        <v>175000</v>
      </c>
      <c r="F76" s="434">
        <v>175000</v>
      </c>
      <c r="G76" s="434"/>
    </row>
    <row r="77" spans="1:7" s="273" customFormat="1" ht="15.75" hidden="1">
      <c r="A77" s="468"/>
      <c r="B77" s="469"/>
      <c r="C77" s="73" t="s">
        <v>408</v>
      </c>
      <c r="D77" s="74" t="s">
        <v>415</v>
      </c>
      <c r="E77" s="431">
        <f>F77+G77</f>
        <v>0</v>
      </c>
      <c r="F77" s="434"/>
      <c r="G77" s="434"/>
    </row>
    <row r="78" spans="1:7" s="272" customFormat="1" ht="15.75">
      <c r="A78" s="423">
        <v>801</v>
      </c>
      <c r="B78" s="424"/>
      <c r="C78" s="423"/>
      <c r="D78" s="424" t="s">
        <v>57</v>
      </c>
      <c r="E78" s="458">
        <f>SUM(E81+E85+E90+E93+E79)</f>
        <v>104200</v>
      </c>
      <c r="F78" s="465">
        <f>SUM(F81+F85+F90+F93+F79)</f>
        <v>104200</v>
      </c>
      <c r="G78" s="465">
        <f>SUM(G81+G85+G90+G93+G79)</f>
        <v>0</v>
      </c>
    </row>
    <row r="79" spans="1:7" s="272" customFormat="1" ht="28.5" customHeight="1">
      <c r="A79" s="423"/>
      <c r="B79" s="428">
        <v>801111</v>
      </c>
      <c r="C79" s="427"/>
      <c r="D79" s="428" t="s">
        <v>735</v>
      </c>
      <c r="E79" s="431">
        <f>F79+G79</f>
        <v>1200</v>
      </c>
      <c r="F79" s="465">
        <f>SUM(F80)</f>
        <v>1200</v>
      </c>
      <c r="G79" s="465">
        <f>SUM(G80)</f>
        <v>0</v>
      </c>
    </row>
    <row r="80" spans="1:7" ht="33.75" customHeight="1">
      <c r="A80" s="470"/>
      <c r="B80" s="471"/>
      <c r="C80" s="470" t="s">
        <v>413</v>
      </c>
      <c r="D80" s="471" t="s">
        <v>736</v>
      </c>
      <c r="E80" s="431">
        <f>F80+G80</f>
        <v>1200</v>
      </c>
      <c r="F80" s="434">
        <v>1200</v>
      </c>
      <c r="G80" s="434"/>
    </row>
    <row r="81" spans="1:7" s="273" customFormat="1" ht="15.75">
      <c r="A81" s="427"/>
      <c r="B81" s="428">
        <v>80120</v>
      </c>
      <c r="C81" s="427"/>
      <c r="D81" s="428" t="s">
        <v>65</v>
      </c>
      <c r="E81" s="460">
        <f>SUM(E82:E84)</f>
        <v>5000</v>
      </c>
      <c r="F81" s="461">
        <f>SUM(F82:F84)</f>
        <v>5000</v>
      </c>
      <c r="G81" s="461">
        <f>SUM(G82:G84)</f>
        <v>0</v>
      </c>
    </row>
    <row r="82" spans="1:7" ht="89.25">
      <c r="A82" s="73"/>
      <c r="B82" s="74"/>
      <c r="C82" s="329" t="s">
        <v>139</v>
      </c>
      <c r="D82" s="74" t="s">
        <v>140</v>
      </c>
      <c r="E82" s="431">
        <f>F82+G82</f>
        <v>3000</v>
      </c>
      <c r="F82" s="434">
        <v>3000</v>
      </c>
      <c r="G82" s="434"/>
    </row>
    <row r="83" spans="1:7" ht="15" hidden="1">
      <c r="A83" s="73"/>
      <c r="B83" s="74"/>
      <c r="C83" s="329" t="s">
        <v>267</v>
      </c>
      <c r="D83" s="74" t="s">
        <v>268</v>
      </c>
      <c r="E83" s="431">
        <f>F83+G83</f>
        <v>0</v>
      </c>
      <c r="F83" s="434"/>
      <c r="G83" s="434"/>
    </row>
    <row r="84" spans="1:7" ht="15">
      <c r="A84" s="73"/>
      <c r="B84" s="74"/>
      <c r="C84" s="329" t="s">
        <v>413</v>
      </c>
      <c r="D84" s="74" t="s">
        <v>414</v>
      </c>
      <c r="E84" s="431">
        <f>F84+G84</f>
        <v>2000</v>
      </c>
      <c r="F84" s="434">
        <v>2000</v>
      </c>
      <c r="G84" s="434"/>
    </row>
    <row r="85" spans="1:7" s="273" customFormat="1" ht="15.75">
      <c r="A85" s="427"/>
      <c r="B85" s="428">
        <v>80130</v>
      </c>
      <c r="C85" s="427"/>
      <c r="D85" s="428" t="s">
        <v>165</v>
      </c>
      <c r="E85" s="460">
        <f>SUM(E86:E89)</f>
        <v>62000</v>
      </c>
      <c r="F85" s="472">
        <f>SUM(F86:F89)</f>
        <v>62000</v>
      </c>
      <c r="G85" s="472">
        <f>SUM(G86:G89)</f>
        <v>0</v>
      </c>
    </row>
    <row r="86" spans="1:7" s="273" customFormat="1" ht="15.75">
      <c r="A86" s="427"/>
      <c r="B86" s="428"/>
      <c r="C86" s="473" t="s">
        <v>40</v>
      </c>
      <c r="D86" s="469" t="s">
        <v>164</v>
      </c>
      <c r="E86" s="431">
        <f>F86+G86</f>
        <v>17000</v>
      </c>
      <c r="F86" s="434">
        <v>17000</v>
      </c>
      <c r="G86" s="461"/>
    </row>
    <row r="87" spans="1:7" ht="89.25">
      <c r="A87" s="73"/>
      <c r="B87" s="74"/>
      <c r="C87" s="474" t="s">
        <v>139</v>
      </c>
      <c r="D87" s="74" t="s">
        <v>140</v>
      </c>
      <c r="E87" s="431">
        <f>F87+G87</f>
        <v>10000</v>
      </c>
      <c r="F87" s="434">
        <v>10000</v>
      </c>
      <c r="G87" s="434"/>
    </row>
    <row r="88" spans="1:7" ht="15">
      <c r="A88" s="73"/>
      <c r="B88" s="74"/>
      <c r="C88" s="474" t="s">
        <v>41</v>
      </c>
      <c r="D88" s="74" t="s">
        <v>296</v>
      </c>
      <c r="E88" s="431">
        <f>F88+G88</f>
        <v>5000</v>
      </c>
      <c r="F88" s="434">
        <v>5000</v>
      </c>
      <c r="G88" s="434"/>
    </row>
    <row r="89" spans="1:7" ht="25.5">
      <c r="A89" s="73"/>
      <c r="B89" s="74"/>
      <c r="C89" s="329">
        <v>2380</v>
      </c>
      <c r="D89" s="336" t="s">
        <v>734</v>
      </c>
      <c r="E89" s="431">
        <f>F89+G89</f>
        <v>30000</v>
      </c>
      <c r="F89" s="434">
        <v>30000</v>
      </c>
      <c r="G89" s="434"/>
    </row>
    <row r="90" spans="1:7" s="273" customFormat="1" ht="15.75">
      <c r="A90" s="427"/>
      <c r="B90" s="428">
        <v>80132</v>
      </c>
      <c r="C90" s="475"/>
      <c r="D90" s="428" t="s">
        <v>72</v>
      </c>
      <c r="E90" s="460">
        <f>SUM(E91:E92)</f>
        <v>36000</v>
      </c>
      <c r="F90" s="460">
        <f>SUM(F91:F92)</f>
        <v>36000</v>
      </c>
      <c r="G90" s="460">
        <f>SUM(G91:G92)</f>
        <v>0</v>
      </c>
    </row>
    <row r="91" spans="1:7" ht="29.25" customHeight="1">
      <c r="A91" s="468"/>
      <c r="B91" s="469"/>
      <c r="C91" s="476" t="s">
        <v>413</v>
      </c>
      <c r="D91" s="469" t="s">
        <v>736</v>
      </c>
      <c r="E91" s="477">
        <f>F91+G91</f>
        <v>1400</v>
      </c>
      <c r="F91" s="434">
        <v>1400</v>
      </c>
      <c r="G91" s="434"/>
    </row>
    <row r="92" spans="1:7" ht="63.75">
      <c r="A92" s="73"/>
      <c r="B92" s="74"/>
      <c r="C92" s="73">
        <v>2710</v>
      </c>
      <c r="D92" s="74" t="s">
        <v>166</v>
      </c>
      <c r="E92" s="431">
        <f>F92+G92</f>
        <v>34600</v>
      </c>
      <c r="F92" s="434">
        <v>34600</v>
      </c>
      <c r="G92" s="434"/>
    </row>
    <row r="93" spans="1:7" s="274" customFormat="1" ht="15.75" hidden="1">
      <c r="A93" s="432"/>
      <c r="B93" s="433">
        <v>80195</v>
      </c>
      <c r="C93" s="432"/>
      <c r="D93" s="433" t="s">
        <v>49</v>
      </c>
      <c r="E93" s="478">
        <f>SUM(E94:E97)</f>
        <v>0</v>
      </c>
      <c r="F93" s="237">
        <f>SUM(F94:F97)</f>
        <v>0</v>
      </c>
      <c r="G93" s="237">
        <f>SUM(G96:G96)</f>
        <v>0</v>
      </c>
    </row>
    <row r="94" spans="1:7" s="277" customFormat="1" ht="25.5" hidden="1">
      <c r="A94" s="73"/>
      <c r="B94" s="74"/>
      <c r="C94" s="73">
        <v>2008</v>
      </c>
      <c r="D94" s="74" t="s">
        <v>678</v>
      </c>
      <c r="E94" s="431">
        <f>F94+G94</f>
        <v>0</v>
      </c>
      <c r="F94" s="479"/>
      <c r="G94" s="449"/>
    </row>
    <row r="95" spans="1:7" s="277" customFormat="1" ht="25.5" hidden="1">
      <c r="A95" s="73"/>
      <c r="B95" s="74"/>
      <c r="C95" s="329">
        <v>2009</v>
      </c>
      <c r="D95" s="74" t="s">
        <v>678</v>
      </c>
      <c r="E95" s="431">
        <f>F95+G95</f>
        <v>0</v>
      </c>
      <c r="F95" s="479"/>
      <c r="G95" s="449"/>
    </row>
    <row r="96" spans="1:7" ht="63.75" hidden="1">
      <c r="A96" s="73"/>
      <c r="B96" s="74"/>
      <c r="C96" s="329">
        <v>2700</v>
      </c>
      <c r="D96" s="74" t="s">
        <v>591</v>
      </c>
      <c r="E96" s="431">
        <f>F96+G96</f>
        <v>0</v>
      </c>
      <c r="F96" s="422"/>
      <c r="G96" s="422"/>
    </row>
    <row r="97" spans="1:7" ht="38.25" hidden="1">
      <c r="A97" s="73"/>
      <c r="B97" s="74"/>
      <c r="C97" s="73">
        <v>2130</v>
      </c>
      <c r="D97" s="74" t="s">
        <v>172</v>
      </c>
      <c r="E97" s="431">
        <f>F97+G97</f>
        <v>0</v>
      </c>
      <c r="F97" s="434"/>
      <c r="G97" s="434"/>
    </row>
    <row r="98" spans="1:7" ht="15" hidden="1">
      <c r="A98" s="73"/>
      <c r="B98" s="74"/>
      <c r="C98" s="329"/>
      <c r="D98" s="74"/>
      <c r="E98" s="477"/>
      <c r="F98" s="422"/>
      <c r="G98" s="422"/>
    </row>
    <row r="99" spans="1:7" s="272" customFormat="1" ht="15.75">
      <c r="A99" s="423">
        <v>851</v>
      </c>
      <c r="B99" s="424"/>
      <c r="C99" s="423"/>
      <c r="D99" s="424" t="s">
        <v>81</v>
      </c>
      <c r="E99" s="458">
        <f>SUM(E100)</f>
        <v>2848400</v>
      </c>
      <c r="F99" s="459">
        <f>SUM(F100)</f>
        <v>2848400</v>
      </c>
      <c r="G99" s="459">
        <f>SUM(G100)</f>
        <v>0</v>
      </c>
    </row>
    <row r="100" spans="1:7" s="273" customFormat="1" ht="51.75">
      <c r="A100" s="427"/>
      <c r="B100" s="428">
        <v>85156</v>
      </c>
      <c r="C100" s="427"/>
      <c r="D100" s="428" t="s">
        <v>168</v>
      </c>
      <c r="E100" s="460">
        <f>E101</f>
        <v>2848400</v>
      </c>
      <c r="F100" s="461">
        <f>F101</f>
        <v>2848400</v>
      </c>
      <c r="G100" s="461">
        <f>G101</f>
        <v>0</v>
      </c>
    </row>
    <row r="101" spans="1:7" ht="63.75">
      <c r="A101" s="73"/>
      <c r="B101" s="74"/>
      <c r="C101" s="73">
        <v>2110</v>
      </c>
      <c r="D101" s="74" t="s">
        <v>135</v>
      </c>
      <c r="E101" s="431">
        <f>F101+G101</f>
        <v>2848400</v>
      </c>
      <c r="F101" s="434">
        <v>2848400</v>
      </c>
      <c r="G101" s="434"/>
    </row>
    <row r="102" spans="1:7" s="272" customFormat="1" ht="15.75">
      <c r="A102" s="423">
        <v>852</v>
      </c>
      <c r="B102" s="424"/>
      <c r="C102" s="423"/>
      <c r="D102" s="424" t="s">
        <v>169</v>
      </c>
      <c r="E102" s="460">
        <f>SUM(E103+E109+E116+E118+E121)</f>
        <v>10600390</v>
      </c>
      <c r="F102" s="459">
        <f>SUM(F103+F109+F116+F118+F121)</f>
        <v>10600390</v>
      </c>
      <c r="G102" s="459">
        <f>SUM(G103+G109+G116+G118)</f>
        <v>0</v>
      </c>
    </row>
    <row r="103" spans="1:7" s="273" customFormat="1" ht="26.25">
      <c r="A103" s="427"/>
      <c r="B103" s="428">
        <v>85201</v>
      </c>
      <c r="C103" s="427"/>
      <c r="D103" s="428" t="s">
        <v>170</v>
      </c>
      <c r="E103" s="460">
        <f>SUM(E104:E108)</f>
        <v>68500</v>
      </c>
      <c r="F103" s="461">
        <f>SUM(F104:F108)</f>
        <v>68500</v>
      </c>
      <c r="G103" s="461">
        <f>SUM(G104:G108)</f>
        <v>0</v>
      </c>
    </row>
    <row r="104" spans="1:7" ht="63.75">
      <c r="A104" s="73"/>
      <c r="B104" s="74"/>
      <c r="C104" s="329">
        <v>2320</v>
      </c>
      <c r="D104" s="480" t="s">
        <v>167</v>
      </c>
      <c r="E104" s="431">
        <f>F104+G104</f>
        <v>67200</v>
      </c>
      <c r="F104" s="434">
        <v>67200</v>
      </c>
      <c r="G104" s="434"/>
    </row>
    <row r="105" spans="1:7" ht="38.25">
      <c r="A105" s="73"/>
      <c r="B105" s="74"/>
      <c r="C105" s="329" t="s">
        <v>269</v>
      </c>
      <c r="D105" s="480" t="s">
        <v>270</v>
      </c>
      <c r="E105" s="431">
        <f>F105+G105</f>
        <v>1000</v>
      </c>
      <c r="F105" s="434">
        <v>1000</v>
      </c>
      <c r="G105" s="434"/>
    </row>
    <row r="106" spans="1:7" ht="15" hidden="1">
      <c r="A106" s="73"/>
      <c r="B106" s="74"/>
      <c r="C106" s="329" t="s">
        <v>149</v>
      </c>
      <c r="D106" s="480" t="s">
        <v>164</v>
      </c>
      <c r="E106" s="431">
        <f>F106+G106</f>
        <v>0</v>
      </c>
      <c r="F106" s="434"/>
      <c r="G106" s="434"/>
    </row>
    <row r="107" spans="1:7" ht="15">
      <c r="A107" s="73"/>
      <c r="B107" s="74"/>
      <c r="C107" s="329" t="s">
        <v>413</v>
      </c>
      <c r="D107" s="480" t="s">
        <v>414</v>
      </c>
      <c r="E107" s="431">
        <f>F107+G107</f>
        <v>300</v>
      </c>
      <c r="F107" s="434">
        <v>300</v>
      </c>
      <c r="G107" s="434"/>
    </row>
    <row r="108" spans="1:7" ht="51" hidden="1">
      <c r="A108" s="73"/>
      <c r="B108" s="74"/>
      <c r="C108" s="329">
        <v>6430</v>
      </c>
      <c r="D108" s="148" t="s">
        <v>682</v>
      </c>
      <c r="E108" s="431">
        <f>F108+G108</f>
        <v>0</v>
      </c>
      <c r="F108" s="434"/>
      <c r="G108" s="434"/>
    </row>
    <row r="109" spans="1:7" s="273" customFormat="1" ht="15.75">
      <c r="A109" s="427"/>
      <c r="B109" s="428">
        <v>85202</v>
      </c>
      <c r="C109" s="427"/>
      <c r="D109" s="428" t="s">
        <v>171</v>
      </c>
      <c r="E109" s="460">
        <f>SUM(E110:E115)</f>
        <v>9445540</v>
      </c>
      <c r="F109" s="461">
        <f>SUM(F110:F115)</f>
        <v>9445540</v>
      </c>
      <c r="G109" s="461">
        <f>SUM(G110:G115)</f>
        <v>0</v>
      </c>
    </row>
    <row r="110" spans="1:7" ht="89.25">
      <c r="A110" s="73"/>
      <c r="B110" s="74"/>
      <c r="C110" s="73" t="s">
        <v>139</v>
      </c>
      <c r="D110" s="74" t="s">
        <v>140</v>
      </c>
      <c r="E110" s="431">
        <f aca="true" t="shared" si="1" ref="E110:E115">F110+G110</f>
        <v>48600</v>
      </c>
      <c r="F110" s="434">
        <v>48600</v>
      </c>
      <c r="G110" s="434"/>
    </row>
    <row r="111" spans="1:7" ht="15">
      <c r="A111" s="73"/>
      <c r="B111" s="74"/>
      <c r="C111" s="329" t="s">
        <v>149</v>
      </c>
      <c r="D111" s="74" t="s">
        <v>164</v>
      </c>
      <c r="E111" s="431">
        <f t="shared" si="1"/>
        <v>4634040</v>
      </c>
      <c r="F111" s="434">
        <v>4634040</v>
      </c>
      <c r="G111" s="434"/>
    </row>
    <row r="112" spans="1:7" ht="38.25">
      <c r="A112" s="73"/>
      <c r="B112" s="74"/>
      <c r="C112" s="481">
        <v>2130</v>
      </c>
      <c r="D112" s="482" t="s">
        <v>172</v>
      </c>
      <c r="E112" s="431">
        <f t="shared" si="1"/>
        <v>4751000</v>
      </c>
      <c r="F112" s="434">
        <v>4751000</v>
      </c>
      <c r="G112" s="434"/>
    </row>
    <row r="113" spans="1:7" ht="15">
      <c r="A113" s="73"/>
      <c r="B113" s="74"/>
      <c r="C113" s="329" t="s">
        <v>267</v>
      </c>
      <c r="D113" s="74" t="s">
        <v>268</v>
      </c>
      <c r="E113" s="431">
        <f t="shared" si="1"/>
        <v>100</v>
      </c>
      <c r="F113" s="434">
        <v>100</v>
      </c>
      <c r="G113" s="434"/>
    </row>
    <row r="114" spans="1:7" ht="15">
      <c r="A114" s="73"/>
      <c r="B114" s="74"/>
      <c r="C114" s="329" t="s">
        <v>413</v>
      </c>
      <c r="D114" s="74" t="s">
        <v>414</v>
      </c>
      <c r="E114" s="431">
        <f t="shared" si="1"/>
        <v>5500</v>
      </c>
      <c r="F114" s="434">
        <v>5500</v>
      </c>
      <c r="G114" s="434"/>
    </row>
    <row r="115" spans="1:7" ht="15">
      <c r="A115" s="73"/>
      <c r="B115" s="74"/>
      <c r="C115" s="329" t="s">
        <v>408</v>
      </c>
      <c r="D115" s="74" t="s">
        <v>271</v>
      </c>
      <c r="E115" s="431">
        <f t="shared" si="1"/>
        <v>6300</v>
      </c>
      <c r="F115" s="434">
        <v>6300</v>
      </c>
      <c r="G115" s="434"/>
    </row>
    <row r="116" spans="1:7" s="273" customFormat="1" ht="13.5" customHeight="1">
      <c r="A116" s="427"/>
      <c r="B116" s="428">
        <v>85203</v>
      </c>
      <c r="C116" s="427"/>
      <c r="D116" s="483" t="s">
        <v>96</v>
      </c>
      <c r="E116" s="460">
        <f>SUM(E117:E117)</f>
        <v>754000</v>
      </c>
      <c r="F116" s="461">
        <f>SUM(F117:F117)</f>
        <v>754000</v>
      </c>
      <c r="G116" s="461">
        <f>SUM(G117:G117)</f>
        <v>0</v>
      </c>
    </row>
    <row r="117" spans="1:7" ht="63.75">
      <c r="A117" s="73"/>
      <c r="B117" s="74"/>
      <c r="C117" s="73">
        <v>2110</v>
      </c>
      <c r="D117" s="74" t="s">
        <v>135</v>
      </c>
      <c r="E117" s="431">
        <f>F117+G117</f>
        <v>754000</v>
      </c>
      <c r="F117" s="434">
        <v>754000</v>
      </c>
      <c r="G117" s="434"/>
    </row>
    <row r="118" spans="1:7" s="273" customFormat="1" ht="15.75">
      <c r="A118" s="427"/>
      <c r="B118" s="428">
        <v>85204</v>
      </c>
      <c r="C118" s="427"/>
      <c r="D118" s="428" t="s">
        <v>97</v>
      </c>
      <c r="E118" s="460">
        <f>SUM(E119:E120)</f>
        <v>331300</v>
      </c>
      <c r="F118" s="461">
        <f>SUM(F119:F120)</f>
        <v>331300</v>
      </c>
      <c r="G118" s="461">
        <f>SUM(G119:G120)</f>
        <v>0</v>
      </c>
    </row>
    <row r="119" spans="1:7" ht="15">
      <c r="A119" s="468"/>
      <c r="B119" s="469"/>
      <c r="C119" s="468" t="s">
        <v>138</v>
      </c>
      <c r="D119" s="469" t="s">
        <v>272</v>
      </c>
      <c r="E119" s="431">
        <f>F119+G119</f>
        <v>5300</v>
      </c>
      <c r="F119" s="434">
        <v>5300</v>
      </c>
      <c r="G119" s="434"/>
    </row>
    <row r="120" spans="1:7" ht="63.75">
      <c r="A120" s="73"/>
      <c r="B120" s="74"/>
      <c r="C120" s="329">
        <v>2320</v>
      </c>
      <c r="D120" s="480" t="s">
        <v>167</v>
      </c>
      <c r="E120" s="431">
        <f>F120+G120</f>
        <v>326000</v>
      </c>
      <c r="F120" s="434">
        <v>326000</v>
      </c>
      <c r="G120" s="434"/>
    </row>
    <row r="121" spans="1:7" s="273" customFormat="1" ht="13.5" customHeight="1">
      <c r="A121" s="427"/>
      <c r="B121" s="428">
        <v>85218</v>
      </c>
      <c r="C121" s="427"/>
      <c r="D121" s="483" t="s">
        <v>425</v>
      </c>
      <c r="E121" s="460">
        <f>SUM(E122:E124)</f>
        <v>1050</v>
      </c>
      <c r="F121" s="461">
        <f>SUM(F122:F124)</f>
        <v>1050</v>
      </c>
      <c r="G121" s="461">
        <f>SUM(G122:G123)</f>
        <v>0</v>
      </c>
    </row>
    <row r="122" spans="1:7" ht="15">
      <c r="A122" s="73"/>
      <c r="B122" s="74"/>
      <c r="C122" s="73" t="s">
        <v>149</v>
      </c>
      <c r="D122" s="74" t="s">
        <v>273</v>
      </c>
      <c r="E122" s="431">
        <f>F122+G122</f>
        <v>50</v>
      </c>
      <c r="F122" s="434">
        <v>50</v>
      </c>
      <c r="G122" s="434"/>
    </row>
    <row r="123" spans="1:7" ht="15">
      <c r="A123" s="73"/>
      <c r="B123" s="74"/>
      <c r="C123" s="73" t="s">
        <v>413</v>
      </c>
      <c r="D123" s="74" t="s">
        <v>414</v>
      </c>
      <c r="E123" s="431">
        <f>F123+G123</f>
        <v>1000</v>
      </c>
      <c r="F123" s="434">
        <v>1000</v>
      </c>
      <c r="G123" s="434"/>
    </row>
    <row r="124" spans="1:7" ht="38.25" hidden="1">
      <c r="A124" s="73"/>
      <c r="B124" s="74"/>
      <c r="C124" s="73">
        <v>2130</v>
      </c>
      <c r="D124" s="74" t="s">
        <v>172</v>
      </c>
      <c r="E124" s="431">
        <f>F124+G124</f>
        <v>0</v>
      </c>
      <c r="F124" s="434"/>
      <c r="G124" s="434"/>
    </row>
    <row r="125" spans="1:7" s="272" customFormat="1" ht="26.25">
      <c r="A125" s="423">
        <v>853</v>
      </c>
      <c r="B125" s="424"/>
      <c r="C125" s="484"/>
      <c r="D125" s="424" t="s">
        <v>173</v>
      </c>
      <c r="E125" s="458">
        <f>SUM(E126+E128+E134+E136)</f>
        <v>2305569</v>
      </c>
      <c r="F125" s="459">
        <f>SUM(F126+F128+F134+F136)</f>
        <v>2301569</v>
      </c>
      <c r="G125" s="459">
        <f>SUM(G126+G128+G134+G136)</f>
        <v>4000</v>
      </c>
    </row>
    <row r="126" spans="1:7" s="273" customFormat="1" ht="26.25">
      <c r="A126" s="427"/>
      <c r="B126" s="428">
        <v>85321</v>
      </c>
      <c r="C126" s="427"/>
      <c r="D126" s="428" t="s">
        <v>663</v>
      </c>
      <c r="E126" s="460">
        <f>E127</f>
        <v>111200</v>
      </c>
      <c r="F126" s="461">
        <f>F127</f>
        <v>111200</v>
      </c>
      <c r="G126" s="461">
        <f>G127</f>
        <v>0</v>
      </c>
    </row>
    <row r="127" spans="1:7" ht="63.75">
      <c r="A127" s="73"/>
      <c r="B127" s="74"/>
      <c r="C127" s="73">
        <v>2110</v>
      </c>
      <c r="D127" s="74" t="s">
        <v>135</v>
      </c>
      <c r="E127" s="431">
        <f>F127+G127</f>
        <v>111200</v>
      </c>
      <c r="F127" s="434">
        <v>111200</v>
      </c>
      <c r="G127" s="434"/>
    </row>
    <row r="128" spans="1:7" s="273" customFormat="1" ht="16.5" customHeight="1">
      <c r="A128" s="427"/>
      <c r="B128" s="428">
        <v>85333</v>
      </c>
      <c r="C128" s="427"/>
      <c r="D128" s="428" t="s">
        <v>174</v>
      </c>
      <c r="E128" s="460">
        <f>SUM(E129:E133)</f>
        <v>700500</v>
      </c>
      <c r="F128" s="461">
        <f>SUM(F129:F133)</f>
        <v>700500</v>
      </c>
      <c r="G128" s="461">
        <f>SUM(G129:G133)</f>
        <v>0</v>
      </c>
    </row>
    <row r="129" spans="1:7" s="273" customFormat="1" ht="90">
      <c r="A129" s="427"/>
      <c r="B129" s="428"/>
      <c r="C129" s="73" t="s">
        <v>139</v>
      </c>
      <c r="D129" s="74" t="s">
        <v>140</v>
      </c>
      <c r="E129" s="431">
        <f>F129+G129</f>
        <v>7000</v>
      </c>
      <c r="F129" s="434">
        <v>7000</v>
      </c>
      <c r="G129" s="461"/>
    </row>
    <row r="130" spans="1:7" ht="15">
      <c r="A130" s="73"/>
      <c r="B130" s="74"/>
      <c r="C130" s="73" t="s">
        <v>149</v>
      </c>
      <c r="D130" s="74" t="s">
        <v>273</v>
      </c>
      <c r="E130" s="431">
        <f>F130+G130</f>
        <v>500</v>
      </c>
      <c r="F130" s="434">
        <v>500</v>
      </c>
      <c r="G130" s="434"/>
    </row>
    <row r="131" spans="1:7" ht="15">
      <c r="A131" s="73"/>
      <c r="B131" s="74"/>
      <c r="C131" s="73" t="s">
        <v>413</v>
      </c>
      <c r="D131" s="74" t="s">
        <v>414</v>
      </c>
      <c r="E131" s="431">
        <f>F131+G131</f>
        <v>1500</v>
      </c>
      <c r="F131" s="434">
        <v>1500</v>
      </c>
      <c r="G131" s="434"/>
    </row>
    <row r="132" spans="1:7" s="273" customFormat="1" ht="26.25" hidden="1">
      <c r="A132" s="427"/>
      <c r="B132" s="428"/>
      <c r="C132" s="73">
        <v>2008</v>
      </c>
      <c r="D132" s="74" t="s">
        <v>678</v>
      </c>
      <c r="E132" s="431">
        <f>F132+G132</f>
        <v>0</v>
      </c>
      <c r="F132" s="434"/>
      <c r="G132" s="461"/>
    </row>
    <row r="133" spans="1:7" ht="155.25" customHeight="1">
      <c r="A133" s="73"/>
      <c r="B133" s="74"/>
      <c r="C133" s="329">
        <v>2690</v>
      </c>
      <c r="D133" s="74" t="s">
        <v>352</v>
      </c>
      <c r="E133" s="431">
        <f>F133+G133</f>
        <v>691500</v>
      </c>
      <c r="F133" s="434">
        <v>691500</v>
      </c>
      <c r="G133" s="434"/>
    </row>
    <row r="134" spans="1:7" s="273" customFormat="1" ht="15.75" hidden="1">
      <c r="A134" s="427"/>
      <c r="B134" s="428">
        <v>85334</v>
      </c>
      <c r="C134" s="427"/>
      <c r="D134" s="428" t="s">
        <v>381</v>
      </c>
      <c r="E134" s="460">
        <f>E135</f>
        <v>0</v>
      </c>
      <c r="F134" s="461">
        <f>F135</f>
        <v>0</v>
      </c>
      <c r="G134" s="461">
        <f>G135</f>
        <v>0</v>
      </c>
    </row>
    <row r="135" spans="1:7" ht="63.75" hidden="1">
      <c r="A135" s="73"/>
      <c r="B135" s="74"/>
      <c r="C135" s="73">
        <v>2110</v>
      </c>
      <c r="D135" s="74" t="s">
        <v>135</v>
      </c>
      <c r="E135" s="431">
        <f>F135+G135</f>
        <v>0</v>
      </c>
      <c r="F135" s="434"/>
      <c r="G135" s="434"/>
    </row>
    <row r="136" spans="1:7" ht="15">
      <c r="A136" s="427"/>
      <c r="B136" s="428">
        <v>83395</v>
      </c>
      <c r="C136" s="427"/>
      <c r="D136" s="428" t="s">
        <v>49</v>
      </c>
      <c r="E136" s="485">
        <f>SUM(E137:E143)</f>
        <v>1493869</v>
      </c>
      <c r="F136" s="486">
        <f>SUM(F137:F143)</f>
        <v>1489869</v>
      </c>
      <c r="G136" s="486">
        <f>SUM(G137:G143)</f>
        <v>4000</v>
      </c>
    </row>
    <row r="137" spans="1:7" ht="25.5">
      <c r="A137" s="73"/>
      <c r="B137" s="74"/>
      <c r="C137" s="447">
        <v>2008</v>
      </c>
      <c r="D137" s="448" t="s">
        <v>678</v>
      </c>
      <c r="E137" s="431">
        <f aca="true" t="shared" si="2" ref="E137:E143">F137+G137</f>
        <v>1309867</v>
      </c>
      <c r="F137" s="449">
        <f>1309867</f>
        <v>1309867</v>
      </c>
      <c r="G137" s="450"/>
    </row>
    <row r="138" spans="1:7" ht="25.5">
      <c r="A138" s="73"/>
      <c r="B138" s="74"/>
      <c r="C138" s="451">
        <v>2009</v>
      </c>
      <c r="D138" s="448" t="s">
        <v>678</v>
      </c>
      <c r="E138" s="431">
        <f t="shared" si="2"/>
        <v>180002</v>
      </c>
      <c r="F138" s="449">
        <f>180002</f>
        <v>180002</v>
      </c>
      <c r="G138" s="450"/>
    </row>
    <row r="139" spans="1:7" ht="15" hidden="1">
      <c r="A139" s="73"/>
      <c r="B139" s="74"/>
      <c r="C139" s="447">
        <v>6208</v>
      </c>
      <c r="D139" s="448" t="s">
        <v>401</v>
      </c>
      <c r="E139" s="431">
        <f t="shared" si="2"/>
        <v>0</v>
      </c>
      <c r="F139" s="449"/>
      <c r="G139" s="450"/>
    </row>
    <row r="140" spans="1:7" ht="15" hidden="1">
      <c r="A140" s="73"/>
      <c r="B140" s="74"/>
      <c r="C140" s="451">
        <v>6209</v>
      </c>
      <c r="D140" s="448" t="s">
        <v>400</v>
      </c>
      <c r="E140" s="431">
        <f t="shared" si="2"/>
        <v>0</v>
      </c>
      <c r="F140" s="449"/>
      <c r="G140" s="450"/>
    </row>
    <row r="141" spans="1:7" ht="15">
      <c r="A141" s="73"/>
      <c r="B141" s="74"/>
      <c r="C141" s="329">
        <v>6208</v>
      </c>
      <c r="D141" s="74" t="s">
        <v>309</v>
      </c>
      <c r="E141" s="431">
        <f>G141</f>
        <v>3400</v>
      </c>
      <c r="F141" s="449"/>
      <c r="G141" s="450">
        <v>3400</v>
      </c>
    </row>
    <row r="142" spans="1:7" ht="15">
      <c r="A142" s="73"/>
      <c r="B142" s="74"/>
      <c r="C142" s="329">
        <v>6209</v>
      </c>
      <c r="D142" s="74" t="s">
        <v>309</v>
      </c>
      <c r="E142" s="431">
        <f t="shared" si="2"/>
        <v>600</v>
      </c>
      <c r="F142" s="449"/>
      <c r="G142" s="450">
        <v>600</v>
      </c>
    </row>
    <row r="143" spans="1:7" ht="51" hidden="1">
      <c r="A143" s="73"/>
      <c r="B143" s="74"/>
      <c r="C143" s="487">
        <v>2320</v>
      </c>
      <c r="D143" s="448" t="s">
        <v>679</v>
      </c>
      <c r="E143" s="431">
        <f t="shared" si="2"/>
        <v>0</v>
      </c>
      <c r="F143" s="449"/>
      <c r="G143" s="450"/>
    </row>
    <row r="144" spans="1:7" s="272" customFormat="1" ht="26.25">
      <c r="A144" s="423">
        <v>854</v>
      </c>
      <c r="B144" s="424"/>
      <c r="C144" s="423"/>
      <c r="D144" s="424" t="s">
        <v>108</v>
      </c>
      <c r="E144" s="458">
        <f>SUM(E147+E150+E152+E145+E158)</f>
        <v>26200</v>
      </c>
      <c r="F144" s="459">
        <f>SUM(F147+F150+F152+F145+F158)</f>
        <v>26200</v>
      </c>
      <c r="G144" s="459">
        <f>SUM(G147+G150+G152+G145+G158)</f>
        <v>0</v>
      </c>
    </row>
    <row r="145" spans="1:7" s="273" customFormat="1" ht="26.25">
      <c r="A145" s="427"/>
      <c r="B145" s="428">
        <v>85406</v>
      </c>
      <c r="C145" s="427"/>
      <c r="D145" s="428" t="s">
        <v>262</v>
      </c>
      <c r="E145" s="460">
        <f>SUM(E146)</f>
        <v>1200</v>
      </c>
      <c r="F145" s="461">
        <f>SUM(F146)</f>
        <v>1200</v>
      </c>
      <c r="G145" s="461">
        <f>SUM(G146:G147)</f>
        <v>0</v>
      </c>
    </row>
    <row r="146" spans="1:7" ht="15">
      <c r="A146" s="73"/>
      <c r="B146" s="74"/>
      <c r="C146" s="73" t="s">
        <v>413</v>
      </c>
      <c r="D146" s="74" t="s">
        <v>414</v>
      </c>
      <c r="E146" s="431">
        <f>F146+G146</f>
        <v>1200</v>
      </c>
      <c r="F146" s="434">
        <v>1200</v>
      </c>
      <c r="G146" s="434"/>
    </row>
    <row r="147" spans="1:7" s="273" customFormat="1" ht="15.75">
      <c r="A147" s="427"/>
      <c r="B147" s="428">
        <v>85410</v>
      </c>
      <c r="C147" s="427"/>
      <c r="D147" s="428" t="s">
        <v>175</v>
      </c>
      <c r="E147" s="460">
        <f>SUM(E148:E149)</f>
        <v>10000</v>
      </c>
      <c r="F147" s="461">
        <f>SUM(F148:F149)</f>
        <v>10000</v>
      </c>
      <c r="G147" s="461">
        <f>SUM(G148:G149)</f>
        <v>0</v>
      </c>
    </row>
    <row r="148" spans="1:7" ht="89.25">
      <c r="A148" s="73"/>
      <c r="B148" s="74"/>
      <c r="C148" s="73" t="s">
        <v>139</v>
      </c>
      <c r="D148" s="74" t="s">
        <v>140</v>
      </c>
      <c r="E148" s="431">
        <f>F148+G148</f>
        <v>3000</v>
      </c>
      <c r="F148" s="434">
        <v>3000</v>
      </c>
      <c r="G148" s="434"/>
    </row>
    <row r="149" spans="1:7" ht="15">
      <c r="A149" s="73"/>
      <c r="B149" s="74"/>
      <c r="C149" s="73" t="s">
        <v>149</v>
      </c>
      <c r="D149" s="74" t="s">
        <v>273</v>
      </c>
      <c r="E149" s="431">
        <f>F149+G149</f>
        <v>7000</v>
      </c>
      <c r="F149" s="434">
        <v>7000</v>
      </c>
      <c r="G149" s="434"/>
    </row>
    <row r="150" spans="1:7" ht="25.5" hidden="1">
      <c r="A150" s="73"/>
      <c r="B150" s="428">
        <v>85413</v>
      </c>
      <c r="C150" s="329"/>
      <c r="D150" s="428" t="s">
        <v>37</v>
      </c>
      <c r="E150" s="488">
        <f>E151</f>
        <v>0</v>
      </c>
      <c r="F150" s="489">
        <f>F151</f>
        <v>0</v>
      </c>
      <c r="G150" s="461">
        <f>G151</f>
        <v>0</v>
      </c>
    </row>
    <row r="151" spans="1:7" ht="63.75" hidden="1">
      <c r="A151" s="73"/>
      <c r="B151" s="74"/>
      <c r="C151" s="329">
        <v>2700</v>
      </c>
      <c r="D151" s="74" t="s">
        <v>591</v>
      </c>
      <c r="E151" s="431">
        <f>F151+G151</f>
        <v>0</v>
      </c>
      <c r="F151" s="434"/>
      <c r="G151" s="434"/>
    </row>
    <row r="152" spans="1:7" s="273" customFormat="1" ht="15.75" hidden="1">
      <c r="A152" s="427"/>
      <c r="B152" s="428">
        <v>85415</v>
      </c>
      <c r="C152" s="427"/>
      <c r="D152" s="428" t="s">
        <v>410</v>
      </c>
      <c r="E152" s="460">
        <f>SUM(E153:E154)</f>
        <v>0</v>
      </c>
      <c r="F152" s="461">
        <f>SUM(F153:F154)</f>
        <v>0</v>
      </c>
      <c r="G152" s="461">
        <f>SUM(G153:G154)</f>
        <v>0</v>
      </c>
    </row>
    <row r="153" spans="1:7" s="273" customFormat="1" ht="39" hidden="1">
      <c r="A153" s="427"/>
      <c r="B153" s="428"/>
      <c r="C153" s="468">
        <v>2130</v>
      </c>
      <c r="D153" s="74" t="s">
        <v>172</v>
      </c>
      <c r="E153" s="431">
        <f>F153+G153</f>
        <v>0</v>
      </c>
      <c r="F153" s="434"/>
      <c r="G153" s="461"/>
    </row>
    <row r="154" spans="1:7" ht="51" hidden="1">
      <c r="A154" s="73"/>
      <c r="B154" s="74"/>
      <c r="C154" s="329">
        <v>2330</v>
      </c>
      <c r="D154" s="74" t="s">
        <v>411</v>
      </c>
      <c r="E154" s="431">
        <f>F154+G154</f>
        <v>0</v>
      </c>
      <c r="F154" s="434"/>
      <c r="G154" s="434"/>
    </row>
    <row r="155" spans="1:7" ht="25.5" hidden="1">
      <c r="A155" s="490">
        <v>921</v>
      </c>
      <c r="B155" s="491"/>
      <c r="C155" s="492"/>
      <c r="D155" s="493" t="s">
        <v>116</v>
      </c>
      <c r="E155" s="494">
        <f>E156</f>
        <v>0</v>
      </c>
      <c r="F155" s="495">
        <f>F156</f>
        <v>0</v>
      </c>
      <c r="G155" s="495">
        <f>G156</f>
        <v>0</v>
      </c>
    </row>
    <row r="156" spans="1:7" ht="15" hidden="1">
      <c r="A156" s="496"/>
      <c r="B156" s="497">
        <v>92116</v>
      </c>
      <c r="C156" s="498"/>
      <c r="D156" s="499" t="s">
        <v>117</v>
      </c>
      <c r="E156" s="500">
        <f>SUM(E157)</f>
        <v>0</v>
      </c>
      <c r="F156" s="501"/>
      <c r="G156" s="450">
        <f>SUM(G157)</f>
        <v>0</v>
      </c>
    </row>
    <row r="157" spans="1:7" ht="51" hidden="1">
      <c r="A157" s="73"/>
      <c r="B157" s="74"/>
      <c r="C157" s="73">
        <v>2440</v>
      </c>
      <c r="D157" s="336" t="s">
        <v>383</v>
      </c>
      <c r="E157" s="431">
        <f aca="true" t="shared" si="3" ref="E157:E162">F157+G157</f>
        <v>0</v>
      </c>
      <c r="F157" s="434"/>
      <c r="G157" s="434"/>
    </row>
    <row r="158" spans="1:7" s="273" customFormat="1" ht="15.75">
      <c r="A158" s="427"/>
      <c r="B158" s="428">
        <v>85415</v>
      </c>
      <c r="C158" s="427"/>
      <c r="D158" s="428" t="s">
        <v>573</v>
      </c>
      <c r="E158" s="195">
        <f t="shared" si="3"/>
        <v>15000</v>
      </c>
      <c r="F158" s="461">
        <f>SUM(F159)</f>
        <v>15000</v>
      </c>
      <c r="G158" s="461">
        <f>SUM(G159)</f>
        <v>0</v>
      </c>
    </row>
    <row r="159" spans="1:7" ht="51">
      <c r="A159" s="73"/>
      <c r="B159" s="74"/>
      <c r="C159" s="73">
        <v>2330</v>
      </c>
      <c r="D159" s="74" t="s">
        <v>411</v>
      </c>
      <c r="E159" s="431">
        <f t="shared" si="3"/>
        <v>15000</v>
      </c>
      <c r="F159" s="434">
        <v>15000</v>
      </c>
      <c r="G159" s="461"/>
    </row>
    <row r="160" spans="1:7" ht="25.5" hidden="1">
      <c r="A160" s="502">
        <v>921</v>
      </c>
      <c r="B160" s="491"/>
      <c r="C160" s="492"/>
      <c r="D160" s="493" t="s">
        <v>116</v>
      </c>
      <c r="E160" s="431">
        <f t="shared" si="3"/>
        <v>0</v>
      </c>
      <c r="F160" s="75">
        <f>F161</f>
        <v>0</v>
      </c>
      <c r="G160" s="75">
        <f>G161</f>
        <v>0</v>
      </c>
    </row>
    <row r="161" spans="1:7" ht="15" hidden="1">
      <c r="A161" s="73"/>
      <c r="B161" s="496">
        <v>92195</v>
      </c>
      <c r="C161" s="498"/>
      <c r="D161" s="499" t="s">
        <v>574</v>
      </c>
      <c r="E161" s="431">
        <f t="shared" si="3"/>
        <v>0</v>
      </c>
      <c r="F161" s="75">
        <f>F162</f>
        <v>0</v>
      </c>
      <c r="G161" s="75">
        <f>G162</f>
        <v>0</v>
      </c>
    </row>
    <row r="162" spans="1:7" ht="63.75" hidden="1">
      <c r="A162" s="73"/>
      <c r="B162" s="74"/>
      <c r="C162" s="73">
        <v>6300</v>
      </c>
      <c r="D162" s="336" t="s">
        <v>431</v>
      </c>
      <c r="E162" s="431">
        <f t="shared" si="3"/>
        <v>0</v>
      </c>
      <c r="F162" s="434"/>
      <c r="G162" s="461"/>
    </row>
    <row r="163" spans="1:7" ht="25.5">
      <c r="A163" s="423"/>
      <c r="B163" s="424"/>
      <c r="C163" s="423"/>
      <c r="D163" s="424" t="s">
        <v>176</v>
      </c>
      <c r="E163" s="461">
        <f>SUM(E10+E15+E29+E36+E43+E58+E65+E78+E99+E102+E125+E144+E18+E155+E55+E160)</f>
        <v>61306475</v>
      </c>
      <c r="F163" s="461">
        <f>SUM(F10+F15+F29+F36+F43+F58+F65+F78+F99+F102+F125+F144+F18+F155+F55+F160)</f>
        <v>54827891</v>
      </c>
      <c r="G163" s="461">
        <f>SUM(G10+G15+G29+G36+G43+G58+G65+G78+G99+G102+G125+G144+G18+G155+G55+G160)</f>
        <v>6478584</v>
      </c>
    </row>
    <row r="168" ht="15">
      <c r="E168" s="269"/>
    </row>
  </sheetData>
  <sheetProtection/>
  <mergeCells count="7">
    <mergeCell ref="E4:G5"/>
    <mergeCell ref="E6:G6"/>
    <mergeCell ref="B1:E1"/>
    <mergeCell ref="A4:A5"/>
    <mergeCell ref="B4:B5"/>
    <mergeCell ref="C4:C5"/>
    <mergeCell ref="D4:D5"/>
  </mergeCells>
  <printOptions horizontalCentered="1"/>
  <pageMargins left="0.5905511811023623" right="0.5905511811023623" top="1.6141732283464567" bottom="0.5905511811023623" header="0.5118110236220472" footer="0.5118110236220472"/>
  <pageSetup horizontalDpi="300" verticalDpi="300" orientation="portrait" paperSize="9" scale="80" r:id="rId1"/>
  <headerFooter alignWithMargins="0">
    <oddHeader>&amp;R&amp;9Załącznik nr 1
do uchwały Zarządu Powiatu
 nr 260/09
z dnia 9.11.2009 r.</oddHeader>
    <oddFooter>&amp;C&amp;P</oddFoot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1">
      <selection activeCell="K14" sqref="K14"/>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628" t="s">
        <v>492</v>
      </c>
      <c r="B1" s="628"/>
      <c r="C1" s="628"/>
      <c r="D1" s="628"/>
      <c r="E1" s="628"/>
      <c r="F1" s="628"/>
      <c r="G1" s="628"/>
      <c r="H1" s="628"/>
      <c r="I1" s="628"/>
      <c r="J1" s="628"/>
    </row>
    <row r="2" spans="1:10" ht="16.5">
      <c r="A2" s="628" t="s">
        <v>727</v>
      </c>
      <c r="B2" s="628"/>
      <c r="C2" s="628"/>
      <c r="D2" s="628"/>
      <c r="E2" s="628"/>
      <c r="F2" s="628"/>
      <c r="G2" s="628"/>
      <c r="H2" s="628"/>
      <c r="I2" s="628"/>
      <c r="J2" s="628"/>
    </row>
    <row r="3" spans="1:10" ht="6" customHeight="1">
      <c r="A3" s="5"/>
      <c r="B3" s="5"/>
      <c r="C3" s="5"/>
      <c r="D3" s="5"/>
      <c r="E3" s="5"/>
      <c r="F3" s="5"/>
      <c r="G3" s="5"/>
      <c r="H3" s="5"/>
      <c r="I3" s="5"/>
      <c r="J3" s="5"/>
    </row>
    <row r="4" spans="1:11" ht="12.75">
      <c r="A4" s="1"/>
      <c r="B4" s="1"/>
      <c r="C4" s="1"/>
      <c r="D4" s="1"/>
      <c r="E4" s="1"/>
      <c r="F4" s="1"/>
      <c r="G4" s="1"/>
      <c r="H4" s="1"/>
      <c r="I4" s="1"/>
      <c r="K4" s="8" t="s">
        <v>476</v>
      </c>
    </row>
    <row r="5" spans="1:11" ht="15" customHeight="1">
      <c r="A5" s="580" t="s">
        <v>493</v>
      </c>
      <c r="B5" s="580" t="s">
        <v>435</v>
      </c>
      <c r="C5" s="566" t="s">
        <v>598</v>
      </c>
      <c r="D5" s="629" t="s">
        <v>504</v>
      </c>
      <c r="E5" s="630"/>
      <c r="F5" s="630"/>
      <c r="G5" s="631"/>
      <c r="H5" s="566" t="s">
        <v>443</v>
      </c>
      <c r="I5" s="566"/>
      <c r="J5" s="566" t="s">
        <v>599</v>
      </c>
      <c r="K5" s="566" t="s">
        <v>728</v>
      </c>
    </row>
    <row r="6" spans="1:11" ht="15" customHeight="1">
      <c r="A6" s="580"/>
      <c r="B6" s="580"/>
      <c r="C6" s="566"/>
      <c r="D6" s="566" t="s">
        <v>442</v>
      </c>
      <c r="E6" s="624" t="s">
        <v>441</v>
      </c>
      <c r="F6" s="625"/>
      <c r="G6" s="626"/>
      <c r="H6" s="566" t="s">
        <v>442</v>
      </c>
      <c r="I6" s="566" t="s">
        <v>496</v>
      </c>
      <c r="J6" s="566"/>
      <c r="K6" s="566"/>
    </row>
    <row r="7" spans="1:11" ht="18" customHeight="1">
      <c r="A7" s="580"/>
      <c r="B7" s="580"/>
      <c r="C7" s="566"/>
      <c r="D7" s="566"/>
      <c r="E7" s="632" t="s">
        <v>600</v>
      </c>
      <c r="F7" s="624" t="s">
        <v>441</v>
      </c>
      <c r="G7" s="626"/>
      <c r="H7" s="566"/>
      <c r="I7" s="566"/>
      <c r="J7" s="566"/>
      <c r="K7" s="566"/>
    </row>
    <row r="8" spans="1:11" ht="42" customHeight="1">
      <c r="A8" s="580"/>
      <c r="B8" s="580"/>
      <c r="C8" s="566"/>
      <c r="D8" s="566"/>
      <c r="E8" s="633"/>
      <c r="F8" s="60" t="s">
        <v>597</v>
      </c>
      <c r="G8" s="60" t="s">
        <v>596</v>
      </c>
      <c r="H8" s="566"/>
      <c r="I8" s="566"/>
      <c r="J8" s="566"/>
      <c r="K8" s="566"/>
    </row>
    <row r="9" spans="1:11" ht="7.5" customHeight="1" thickBot="1">
      <c r="A9" s="204">
        <v>1</v>
      </c>
      <c r="B9" s="204">
        <v>2</v>
      </c>
      <c r="C9" s="204">
        <v>3</v>
      </c>
      <c r="D9" s="204">
        <v>4</v>
      </c>
      <c r="E9" s="204">
        <v>5</v>
      </c>
      <c r="F9" s="204">
        <v>6</v>
      </c>
      <c r="G9" s="204">
        <v>7</v>
      </c>
      <c r="H9" s="204">
        <v>8</v>
      </c>
      <c r="I9" s="204">
        <v>9</v>
      </c>
      <c r="J9" s="204">
        <v>10</v>
      </c>
      <c r="K9" s="204">
        <v>11</v>
      </c>
    </row>
    <row r="10" spans="1:11" s="52" customFormat="1" ht="19.5" customHeight="1" thickBot="1">
      <c r="A10" s="202" t="s">
        <v>445</v>
      </c>
      <c r="B10" s="206" t="s">
        <v>449</v>
      </c>
      <c r="C10" s="203">
        <f>SUM(C12:C14)</f>
        <v>123800</v>
      </c>
      <c r="D10" s="203">
        <f aca="true" t="shared" si="0" ref="D10:J10">SUM(D12:D14)</f>
        <v>2350000</v>
      </c>
      <c r="E10" s="203">
        <f t="shared" si="0"/>
        <v>0</v>
      </c>
      <c r="F10" s="203">
        <f t="shared" si="0"/>
        <v>0</v>
      </c>
      <c r="G10" s="203">
        <f t="shared" si="0"/>
        <v>0</v>
      </c>
      <c r="H10" s="203">
        <f t="shared" si="0"/>
        <v>2305000</v>
      </c>
      <c r="I10" s="203">
        <f t="shared" si="0"/>
        <v>30000</v>
      </c>
      <c r="J10" s="203">
        <f t="shared" si="0"/>
        <v>168800</v>
      </c>
      <c r="K10" s="207">
        <f>SUM(K12:K14)</f>
        <v>30000</v>
      </c>
    </row>
    <row r="11" spans="1:11" ht="19.5" customHeight="1">
      <c r="A11" s="205"/>
      <c r="B11" s="257" t="s">
        <v>510</v>
      </c>
      <c r="C11" s="258"/>
      <c r="D11" s="258"/>
      <c r="E11" s="258"/>
      <c r="F11" s="259"/>
      <c r="G11" s="258"/>
      <c r="H11" s="258"/>
      <c r="I11" s="258"/>
      <c r="J11" s="258"/>
      <c r="K11" s="259"/>
    </row>
    <row r="12" spans="1:11" ht="38.25">
      <c r="A12" s="30"/>
      <c r="B12" s="388" t="s">
        <v>204</v>
      </c>
      <c r="C12" s="103">
        <v>0</v>
      </c>
      <c r="D12" s="103">
        <v>810000</v>
      </c>
      <c r="E12" s="103"/>
      <c r="F12" s="260" t="s">
        <v>482</v>
      </c>
      <c r="G12" s="103"/>
      <c r="H12" s="103">
        <v>810000</v>
      </c>
      <c r="I12" s="103">
        <v>0</v>
      </c>
      <c r="J12" s="240">
        <f>C12+D12-H12</f>
        <v>0</v>
      </c>
      <c r="K12" s="260" t="s">
        <v>482</v>
      </c>
    </row>
    <row r="13" spans="1:11" s="242" customFormat="1" ht="25.5">
      <c r="A13" s="239"/>
      <c r="B13" s="390" t="s">
        <v>419</v>
      </c>
      <c r="C13" s="240">
        <v>1500</v>
      </c>
      <c r="D13" s="240">
        <v>960000</v>
      </c>
      <c r="E13" s="240"/>
      <c r="F13" s="241"/>
      <c r="G13" s="240"/>
      <c r="H13" s="240">
        <v>960000</v>
      </c>
      <c r="I13" s="240">
        <v>0</v>
      </c>
      <c r="J13" s="240">
        <f>C13+D13-H13</f>
        <v>1500</v>
      </c>
      <c r="K13" s="241" t="s">
        <v>482</v>
      </c>
    </row>
    <row r="14" spans="1:11" ht="39" thickBot="1">
      <c r="A14" s="196"/>
      <c r="B14" s="389" t="s">
        <v>418</v>
      </c>
      <c r="C14" s="240">
        <v>122300</v>
      </c>
      <c r="D14" s="240">
        <v>580000</v>
      </c>
      <c r="E14" s="240"/>
      <c r="F14" s="241"/>
      <c r="G14" s="240"/>
      <c r="H14" s="240">
        <f>505000+30000</f>
        <v>535000</v>
      </c>
      <c r="I14" s="240">
        <v>30000</v>
      </c>
      <c r="J14" s="240">
        <f>C14+D14-H14</f>
        <v>167300</v>
      </c>
      <c r="K14" s="130">
        <v>30000</v>
      </c>
    </row>
    <row r="15" spans="1:11" s="52" customFormat="1" ht="26.25" thickBot="1">
      <c r="A15" s="202" t="s">
        <v>450</v>
      </c>
      <c r="B15" s="283" t="s">
        <v>595</v>
      </c>
      <c r="C15" s="285">
        <f>SUM(C17:C20)</f>
        <v>21000</v>
      </c>
      <c r="D15" s="203">
        <f>SUM(D17:D20)</f>
        <v>433000</v>
      </c>
      <c r="E15" s="203">
        <f>SUM(E17:E20)</f>
        <v>0</v>
      </c>
      <c r="F15" s="286" t="s">
        <v>482</v>
      </c>
      <c r="G15" s="286" t="s">
        <v>482</v>
      </c>
      <c r="H15" s="203">
        <f>SUM(H17:H20)</f>
        <v>433000</v>
      </c>
      <c r="I15" s="286"/>
      <c r="J15" s="287">
        <f>SUM(J17:J20)</f>
        <v>21000</v>
      </c>
      <c r="K15" s="284"/>
    </row>
    <row r="16" spans="1:11" ht="19.5" customHeight="1">
      <c r="A16" s="198"/>
      <c r="B16" s="199" t="s">
        <v>510</v>
      </c>
      <c r="C16" s="200"/>
      <c r="D16" s="200"/>
      <c r="E16" s="201"/>
      <c r="F16" s="201"/>
      <c r="G16" s="201"/>
      <c r="H16" s="200"/>
      <c r="I16" s="201"/>
      <c r="J16" s="200"/>
      <c r="K16" s="200"/>
    </row>
    <row r="17" spans="1:11" ht="25.5">
      <c r="A17" s="19"/>
      <c r="B17" s="139" t="s">
        <v>206</v>
      </c>
      <c r="C17" s="127"/>
      <c r="D17" s="127">
        <v>50000</v>
      </c>
      <c r="E17" s="128"/>
      <c r="F17" s="128" t="s">
        <v>482</v>
      </c>
      <c r="G17" s="128" t="s">
        <v>482</v>
      </c>
      <c r="H17" s="127">
        <v>50000</v>
      </c>
      <c r="I17" s="128" t="s">
        <v>482</v>
      </c>
      <c r="J17" s="127"/>
      <c r="K17" s="127"/>
    </row>
    <row r="18" spans="1:11" ht="25.5">
      <c r="A18" s="19"/>
      <c r="B18" s="139" t="s">
        <v>369</v>
      </c>
      <c r="C18" s="127">
        <v>3000</v>
      </c>
      <c r="D18" s="127">
        <v>300000</v>
      </c>
      <c r="E18" s="128"/>
      <c r="F18" s="128" t="s">
        <v>482</v>
      </c>
      <c r="G18" s="128" t="s">
        <v>482</v>
      </c>
      <c r="H18" s="127">
        <v>300000</v>
      </c>
      <c r="I18" s="128" t="s">
        <v>482</v>
      </c>
      <c r="J18" s="197">
        <v>3000</v>
      </c>
      <c r="K18" s="127"/>
    </row>
    <row r="19" spans="1:11" ht="38.25">
      <c r="A19" s="20"/>
      <c r="B19" s="140" t="s">
        <v>420</v>
      </c>
      <c r="C19" s="129">
        <v>18000</v>
      </c>
      <c r="D19" s="129">
        <v>53000</v>
      </c>
      <c r="E19" s="130"/>
      <c r="F19" s="130" t="s">
        <v>482</v>
      </c>
      <c r="G19" s="130" t="s">
        <v>482</v>
      </c>
      <c r="H19" s="129">
        <v>53000</v>
      </c>
      <c r="I19" s="130" t="s">
        <v>482</v>
      </c>
      <c r="J19" s="197">
        <f>C19+D19-H19</f>
        <v>18000</v>
      </c>
      <c r="K19" s="129"/>
    </row>
    <row r="20" spans="1:11" ht="25.5">
      <c r="A20" s="20"/>
      <c r="B20" s="140" t="s">
        <v>261</v>
      </c>
      <c r="C20" s="129"/>
      <c r="D20" s="129">
        <v>30000</v>
      </c>
      <c r="E20" s="130"/>
      <c r="F20" s="130" t="s">
        <v>482</v>
      </c>
      <c r="G20" s="130" t="s">
        <v>482</v>
      </c>
      <c r="H20" s="129">
        <v>30000</v>
      </c>
      <c r="I20" s="130" t="s">
        <v>482</v>
      </c>
      <c r="J20" s="197">
        <f>C20+D20-H20</f>
        <v>0</v>
      </c>
      <c r="K20" s="129"/>
    </row>
    <row r="21" spans="1:11" s="52" customFormat="1" ht="19.5" customHeight="1">
      <c r="A21" s="627" t="s">
        <v>557</v>
      </c>
      <c r="B21" s="627"/>
      <c r="C21" s="195">
        <f>C10+C15</f>
        <v>144800</v>
      </c>
      <c r="D21" s="195">
        <f>D10+D15</f>
        <v>2783000</v>
      </c>
      <c r="E21" s="195">
        <f>E10+E15</f>
        <v>0</v>
      </c>
      <c r="F21" s="195"/>
      <c r="G21" s="195"/>
      <c r="H21" s="195">
        <f>H10+H15</f>
        <v>2738000</v>
      </c>
      <c r="I21" s="195">
        <f>I10+I15</f>
        <v>30000</v>
      </c>
      <c r="J21" s="195">
        <f>J10+J15</f>
        <v>189800</v>
      </c>
      <c r="K21" s="195"/>
    </row>
    <row r="22" ht="4.5" customHeight="1"/>
    <row r="23" ht="12.75" customHeight="1">
      <c r="A23" s="61"/>
    </row>
    <row r="24" ht="12.75">
      <c r="A24" s="61"/>
    </row>
    <row r="25" ht="12.75">
      <c r="A25" s="61"/>
    </row>
    <row r="26" ht="12.75">
      <c r="A26" s="61"/>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firstPageNumber="66" useFirstPageNumber="1" horizontalDpi="600" verticalDpi="600" orientation="landscape" paperSize="9" scale="85" r:id="rId1"/>
  <headerFooter alignWithMargins="0">
    <oddHeader>&amp;R&amp;9Załącznik nr 9
do uchwały Zarządu Powiatu 
nr 260/09
z dnia 9.11.2009 r.</oddHeader>
    <oddFooter>&amp;C&amp;P</oddFooter>
  </headerFooter>
</worksheet>
</file>

<file path=xl/worksheets/sheet11.xml><?xml version="1.0" encoding="utf-8"?>
<worksheet xmlns="http://schemas.openxmlformats.org/spreadsheetml/2006/main" xmlns:r="http://schemas.openxmlformats.org/officeDocument/2006/relationships">
  <dimension ref="A1:CB27"/>
  <sheetViews>
    <sheetView zoomScalePageLayoutView="0" workbookViewId="0" topLeftCell="A5">
      <selection activeCell="A14" sqref="A14:IV20"/>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70" t="s">
        <v>0</v>
      </c>
      <c r="B1" s="570"/>
      <c r="C1" s="570"/>
      <c r="D1" s="570"/>
      <c r="E1" s="570"/>
      <c r="F1" s="570"/>
      <c r="G1" s="570"/>
      <c r="H1" s="570"/>
      <c r="I1" s="570"/>
      <c r="J1" s="570"/>
      <c r="K1" s="570"/>
    </row>
    <row r="3" ht="12.75">
      <c r="K3" s="49" t="s">
        <v>476</v>
      </c>
    </row>
    <row r="4" spans="1:80" ht="20.25" customHeight="1">
      <c r="A4" s="580" t="s">
        <v>437</v>
      </c>
      <c r="B4" s="616" t="s">
        <v>438</v>
      </c>
      <c r="C4" s="616" t="s">
        <v>439</v>
      </c>
      <c r="D4" s="566" t="s">
        <v>547</v>
      </c>
      <c r="E4" s="566" t="s">
        <v>198</v>
      </c>
      <c r="F4" s="566" t="s">
        <v>510</v>
      </c>
      <c r="G4" s="566"/>
      <c r="H4" s="566"/>
      <c r="I4" s="566"/>
      <c r="J4" s="566"/>
      <c r="K4" s="566"/>
      <c r="BY4" s="1"/>
      <c r="BZ4" s="1"/>
      <c r="CA4" s="1"/>
      <c r="CB4" s="1"/>
    </row>
    <row r="5" spans="1:80" ht="18" customHeight="1">
      <c r="A5" s="580"/>
      <c r="B5" s="617"/>
      <c r="C5" s="617"/>
      <c r="D5" s="580"/>
      <c r="E5" s="566"/>
      <c r="F5" s="566" t="s">
        <v>545</v>
      </c>
      <c r="G5" s="566" t="s">
        <v>441</v>
      </c>
      <c r="H5" s="566"/>
      <c r="I5" s="566"/>
      <c r="J5" s="14"/>
      <c r="K5" s="566" t="s">
        <v>546</v>
      </c>
      <c r="BY5" s="1"/>
      <c r="BZ5" s="1"/>
      <c r="CA5" s="1"/>
      <c r="CB5" s="1"/>
    </row>
    <row r="6" spans="1:80" ht="69" customHeight="1">
      <c r="A6" s="580"/>
      <c r="B6" s="618"/>
      <c r="C6" s="618"/>
      <c r="D6" s="580"/>
      <c r="E6" s="566"/>
      <c r="F6" s="566"/>
      <c r="G6" s="14" t="s">
        <v>543</v>
      </c>
      <c r="H6" s="14" t="s">
        <v>544</v>
      </c>
      <c r="I6" s="102" t="s">
        <v>197</v>
      </c>
      <c r="J6" s="102" t="s">
        <v>216</v>
      </c>
      <c r="K6" s="566"/>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hidden="1">
      <c r="A8" s="72">
        <v>801</v>
      </c>
      <c r="B8" s="105">
        <v>80195</v>
      </c>
      <c r="C8" s="244">
        <v>2008</v>
      </c>
      <c r="D8" s="72"/>
      <c r="E8" s="72"/>
      <c r="F8" s="72"/>
      <c r="G8" s="72"/>
      <c r="H8" s="72"/>
      <c r="I8" s="72"/>
      <c r="J8" s="72"/>
      <c r="K8" s="72"/>
      <c r="BY8" s="1"/>
      <c r="BZ8" s="1"/>
      <c r="CA8" s="1"/>
      <c r="CB8" s="1"/>
    </row>
    <row r="9" spans="1:80" ht="19.5" customHeight="1" hidden="1">
      <c r="A9" s="72"/>
      <c r="B9" s="105">
        <v>80195</v>
      </c>
      <c r="C9" s="244">
        <v>2009</v>
      </c>
      <c r="D9" s="72"/>
      <c r="E9" s="72"/>
      <c r="F9" s="72"/>
      <c r="G9" s="72"/>
      <c r="H9" s="72"/>
      <c r="I9" s="72"/>
      <c r="J9" s="72"/>
      <c r="K9" s="72"/>
      <c r="BY9" s="1"/>
      <c r="BZ9" s="1"/>
      <c r="CA9" s="1"/>
      <c r="CB9" s="1"/>
    </row>
    <row r="10" spans="1:80" ht="19.5" customHeight="1">
      <c r="A10" s="72">
        <v>853</v>
      </c>
      <c r="B10" s="105">
        <v>85395</v>
      </c>
      <c r="C10" s="105">
        <v>2008</v>
      </c>
      <c r="D10" s="72">
        <f>1!F137</f>
        <v>1309867</v>
      </c>
      <c r="E10" s="72">
        <f>F10+K10</f>
        <v>1309867</v>
      </c>
      <c r="F10" s="72">
        <f>D10</f>
        <v>1309867</v>
      </c>
      <c r="G10" s="282">
        <v>59954</v>
      </c>
      <c r="H10" s="282">
        <f>122282+19747</f>
        <v>142029</v>
      </c>
      <c r="I10" s="282"/>
      <c r="J10" s="289"/>
      <c r="K10" s="72"/>
      <c r="BY10" s="1"/>
      <c r="BZ10" s="1"/>
      <c r="CA10" s="1"/>
      <c r="CB10" s="1"/>
    </row>
    <row r="11" spans="1:80" ht="19.5" customHeight="1">
      <c r="A11" s="72"/>
      <c r="B11" s="105">
        <v>85395</v>
      </c>
      <c r="C11" s="105">
        <v>2009</v>
      </c>
      <c r="D11" s="72">
        <f>1!F138</f>
        <v>180002</v>
      </c>
      <c r="E11" s="72">
        <f>F11+K11</f>
        <v>180002</v>
      </c>
      <c r="F11" s="72">
        <f>D11</f>
        <v>180002</v>
      </c>
      <c r="G11" s="282">
        <v>10374</v>
      </c>
      <c r="H11" s="282">
        <f>21507+3471</f>
        <v>24978</v>
      </c>
      <c r="I11" s="282"/>
      <c r="J11" s="289"/>
      <c r="K11" s="72"/>
      <c r="BY11" s="1"/>
      <c r="BZ11" s="1"/>
      <c r="CA11" s="1"/>
      <c r="CB11" s="1"/>
    </row>
    <row r="12" spans="1:80" ht="19.5" customHeight="1">
      <c r="A12" s="72"/>
      <c r="B12" s="105">
        <v>85395</v>
      </c>
      <c r="C12" s="105">
        <v>6208</v>
      </c>
      <c r="D12" s="72">
        <f>1!G141</f>
        <v>3400</v>
      </c>
      <c r="E12" s="72">
        <f>F12+K12</f>
        <v>3400</v>
      </c>
      <c r="F12" s="72">
        <v>0</v>
      </c>
      <c r="G12" s="282"/>
      <c r="H12" s="282"/>
      <c r="I12" s="282"/>
      <c r="J12" s="289"/>
      <c r="K12" s="72">
        <v>3400</v>
      </c>
      <c r="BY12" s="1"/>
      <c r="BZ12" s="1"/>
      <c r="CA12" s="1"/>
      <c r="CB12" s="1"/>
    </row>
    <row r="13" spans="1:80" ht="19.5" customHeight="1">
      <c r="A13" s="72"/>
      <c r="B13" s="105">
        <v>85395</v>
      </c>
      <c r="C13" s="105">
        <v>6209</v>
      </c>
      <c r="D13" s="72">
        <f>1!G142</f>
        <v>600</v>
      </c>
      <c r="E13" s="72">
        <f>F13+K13</f>
        <v>600</v>
      </c>
      <c r="F13" s="72">
        <v>0</v>
      </c>
      <c r="G13" s="282"/>
      <c r="H13" s="282"/>
      <c r="I13" s="282"/>
      <c r="J13" s="289"/>
      <c r="K13" s="72">
        <v>600</v>
      </c>
      <c r="BY13" s="1"/>
      <c r="BZ13" s="1"/>
      <c r="CA13" s="1"/>
      <c r="CB13" s="1"/>
    </row>
    <row r="14" spans="1:80" ht="19.5" customHeight="1" hidden="1">
      <c r="A14" s="72"/>
      <c r="B14" s="105">
        <v>85395</v>
      </c>
      <c r="C14" s="105">
        <v>2008</v>
      </c>
      <c r="D14" s="72"/>
      <c r="E14" s="72"/>
      <c r="F14" s="72"/>
      <c r="G14" s="72"/>
      <c r="H14" s="72"/>
      <c r="I14" s="72"/>
      <c r="J14" s="72"/>
      <c r="K14" s="72"/>
      <c r="BY14" s="1"/>
      <c r="BZ14" s="1"/>
      <c r="CA14" s="1"/>
      <c r="CB14" s="1"/>
    </row>
    <row r="15" spans="1:80" ht="19.5" customHeight="1" hidden="1">
      <c r="A15" s="72"/>
      <c r="B15" s="105">
        <v>85395</v>
      </c>
      <c r="C15" s="105">
        <v>2009</v>
      </c>
      <c r="D15" s="72"/>
      <c r="E15" s="72"/>
      <c r="F15" s="72"/>
      <c r="G15" s="72"/>
      <c r="H15" s="72"/>
      <c r="I15" s="72"/>
      <c r="J15" s="72"/>
      <c r="K15" s="72"/>
      <c r="BY15" s="1"/>
      <c r="BZ15" s="1"/>
      <c r="CA15" s="1"/>
      <c r="CB15" s="1"/>
    </row>
    <row r="16" spans="1:80" ht="19.5" customHeight="1" hidden="1">
      <c r="A16" s="72"/>
      <c r="B16" s="105">
        <v>85395</v>
      </c>
      <c r="C16" s="105">
        <v>6208</v>
      </c>
      <c r="D16" s="72"/>
      <c r="E16" s="72"/>
      <c r="F16" s="72"/>
      <c r="G16" s="72"/>
      <c r="H16" s="72"/>
      <c r="I16" s="72"/>
      <c r="J16" s="72"/>
      <c r="K16" s="72"/>
      <c r="BY16" s="1"/>
      <c r="BZ16" s="1"/>
      <c r="CA16" s="1"/>
      <c r="CB16" s="1"/>
    </row>
    <row r="17" spans="1:80" ht="19.5" customHeight="1" hidden="1">
      <c r="A17" s="72"/>
      <c r="B17" s="105">
        <v>85395</v>
      </c>
      <c r="C17" s="105">
        <v>6209</v>
      </c>
      <c r="D17" s="72"/>
      <c r="E17" s="72"/>
      <c r="F17" s="72"/>
      <c r="G17" s="72"/>
      <c r="H17" s="72"/>
      <c r="I17" s="72"/>
      <c r="J17" s="72"/>
      <c r="K17" s="72"/>
      <c r="BY17" s="1"/>
      <c r="BZ17" s="1"/>
      <c r="CA17" s="1"/>
      <c r="CB17" s="1"/>
    </row>
    <row r="18" spans="1:80" ht="19.5" customHeight="1" hidden="1">
      <c r="A18" s="72">
        <v>854</v>
      </c>
      <c r="B18" s="105">
        <v>85415</v>
      </c>
      <c r="C18" s="105">
        <v>2330</v>
      </c>
      <c r="D18" s="72"/>
      <c r="E18" s="72"/>
      <c r="F18" s="72"/>
      <c r="G18" s="72"/>
      <c r="H18" s="72"/>
      <c r="I18" s="72"/>
      <c r="J18" s="72"/>
      <c r="K18" s="72"/>
      <c r="BY18" s="1"/>
      <c r="BZ18" s="1"/>
      <c r="CA18" s="1"/>
      <c r="CB18" s="1"/>
    </row>
    <row r="19" spans="1:80" ht="19.5" customHeight="1" hidden="1">
      <c r="A19" s="72"/>
      <c r="B19" s="105"/>
      <c r="C19" s="105"/>
      <c r="D19" s="72"/>
      <c r="E19" s="72"/>
      <c r="F19" s="72"/>
      <c r="G19" s="72"/>
      <c r="H19" s="72"/>
      <c r="I19" s="72"/>
      <c r="J19" s="72"/>
      <c r="K19" s="72"/>
      <c r="BY19" s="1"/>
      <c r="BZ19" s="1"/>
      <c r="CA19" s="1"/>
      <c r="CB19" s="1"/>
    </row>
    <row r="20" spans="1:80" ht="19.5" customHeight="1" hidden="1">
      <c r="A20" s="72">
        <v>921</v>
      </c>
      <c r="B20" s="105">
        <v>92195</v>
      </c>
      <c r="C20" s="105">
        <v>2008</v>
      </c>
      <c r="D20" s="72"/>
      <c r="E20" s="72"/>
      <c r="F20" s="72"/>
      <c r="G20" s="72"/>
      <c r="H20" s="72"/>
      <c r="I20" s="72"/>
      <c r="J20" s="288"/>
      <c r="K20" s="72"/>
      <c r="BY20" s="1"/>
      <c r="BZ20" s="1"/>
      <c r="CA20" s="1"/>
      <c r="CB20" s="1"/>
    </row>
    <row r="21" spans="1:76" s="108" customFormat="1" ht="24.75" customHeight="1">
      <c r="A21" s="621" t="s">
        <v>557</v>
      </c>
      <c r="B21" s="622"/>
      <c r="C21" s="623"/>
      <c r="D21" s="107">
        <f aca="true" t="shared" si="0" ref="D21:K21">SUM(D8:D20)</f>
        <v>1493869</v>
      </c>
      <c r="E21" s="107">
        <f t="shared" si="0"/>
        <v>1493869</v>
      </c>
      <c r="F21" s="107">
        <f t="shared" si="0"/>
        <v>1489869</v>
      </c>
      <c r="G21" s="107">
        <f t="shared" si="0"/>
        <v>70328</v>
      </c>
      <c r="H21" s="107">
        <f t="shared" si="0"/>
        <v>167007</v>
      </c>
      <c r="I21" s="107">
        <f t="shared" si="0"/>
        <v>0</v>
      </c>
      <c r="J21" s="107">
        <f t="shared" si="0"/>
        <v>0</v>
      </c>
      <c r="K21" s="107">
        <f t="shared" si="0"/>
        <v>4000</v>
      </c>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row>
    <row r="26" ht="12.75">
      <c r="I26" s="71"/>
    </row>
    <row r="27" ht="12.75">
      <c r="I27" s="71"/>
    </row>
  </sheetData>
  <sheetProtection/>
  <mergeCells count="11">
    <mergeCell ref="A1:K1"/>
    <mergeCell ref="F4:K4"/>
    <mergeCell ref="F5:F6"/>
    <mergeCell ref="G5:I5"/>
    <mergeCell ref="K5:K6"/>
    <mergeCell ref="A21:C21"/>
    <mergeCell ref="E4:E6"/>
    <mergeCell ref="A4:A6"/>
    <mergeCell ref="B4:B6"/>
    <mergeCell ref="C4:C6"/>
    <mergeCell ref="D4:D6"/>
  </mergeCells>
  <printOptions horizontalCentered="1"/>
  <pageMargins left="0.3937007874015748" right="0.3937007874015748" top="1.4173228346456694" bottom="0.984251968503937" header="0.5118110236220472" footer="0.5118110236220472"/>
  <pageSetup firstPageNumber="67" useFirstPageNumber="1" horizontalDpi="600" verticalDpi="600" orientation="landscape" paperSize="9" scale="90" r:id="rId1"/>
  <headerFooter alignWithMargins="0">
    <oddHeader>&amp;R&amp;9Załącznik nr 10
do uchwały Zarządu Powiatu 
nr 260/09
z dnia 9.11.2009 r.</oddHeader>
    <oddFooter>&amp;C&amp;P</oddFoot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5" customWidth="1"/>
    <col min="7" max="16384" width="9.125" style="1" customWidth="1"/>
  </cols>
  <sheetData>
    <row r="1" spans="1:6" ht="19.5" customHeight="1">
      <c r="A1" s="634" t="s">
        <v>1</v>
      </c>
      <c r="B1" s="634"/>
      <c r="C1" s="634"/>
      <c r="D1" s="634"/>
      <c r="E1" s="634"/>
      <c r="F1" s="634"/>
    </row>
    <row r="2" spans="5:6" ht="19.5" customHeight="1">
      <c r="E2" s="5"/>
      <c r="F2" s="99"/>
    </row>
    <row r="3" ht="19.5" customHeight="1">
      <c r="F3" s="100" t="s">
        <v>476</v>
      </c>
    </row>
    <row r="4" spans="1:6" ht="19.5" customHeight="1">
      <c r="A4" s="13" t="s">
        <v>493</v>
      </c>
      <c r="B4" s="13" t="s">
        <v>437</v>
      </c>
      <c r="C4" s="13" t="s">
        <v>438</v>
      </c>
      <c r="D4" s="13" t="s">
        <v>563</v>
      </c>
      <c r="E4" s="13" t="s">
        <v>479</v>
      </c>
      <c r="F4" s="101" t="s">
        <v>478</v>
      </c>
    </row>
    <row r="5" spans="1:6" ht="7.5" customHeight="1">
      <c r="A5" s="16">
        <v>1</v>
      </c>
      <c r="B5" s="16">
        <v>2</v>
      </c>
      <c r="C5" s="16">
        <v>3</v>
      </c>
      <c r="D5" s="16">
        <v>4</v>
      </c>
      <c r="E5" s="16">
        <v>5</v>
      </c>
      <c r="F5" s="84">
        <v>6</v>
      </c>
    </row>
    <row r="6" spans="1:6" ht="76.5">
      <c r="A6" s="24">
        <v>1</v>
      </c>
      <c r="B6" s="24">
        <v>801</v>
      </c>
      <c r="C6" s="24">
        <v>80120</v>
      </c>
      <c r="D6" s="24">
        <v>2540</v>
      </c>
      <c r="E6" s="328" t="s">
        <v>2</v>
      </c>
      <c r="F6" s="90">
        <f>2!J234</f>
        <v>53860</v>
      </c>
    </row>
    <row r="7" spans="1:256" s="108" customFormat="1" ht="30" customHeight="1">
      <c r="A7" s="635" t="s">
        <v>557</v>
      </c>
      <c r="B7" s="636"/>
      <c r="C7" s="636"/>
      <c r="D7" s="636"/>
      <c r="E7" s="637"/>
      <c r="F7" s="106">
        <f>SUM(F6)</f>
        <v>53860</v>
      </c>
      <c r="IV7" s="109">
        <f>SUM(F7:IU7)</f>
        <v>53860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firstPageNumber="68" useFirstPageNumber="1" horizontalDpi="600" verticalDpi="600" orientation="portrait" paperSize="9" scale="95" r:id="rId1"/>
  <headerFooter alignWithMargins="0">
    <oddHeader>&amp;R&amp;9Załącznik nr 11
do uchwały Zarządu Powiatu 
nr 260/09
z dnia 9.11.2009 r.</oddHeader>
    <oddFooter>&amp;C&amp;P</oddFooter>
  </headerFooter>
</worksheet>
</file>

<file path=xl/worksheets/sheet13.xml><?xml version="1.0" encoding="utf-8"?>
<worksheet xmlns="http://schemas.openxmlformats.org/spreadsheetml/2006/main" xmlns:r="http://schemas.openxmlformats.org/officeDocument/2006/relationships">
  <dimension ref="A1:H24"/>
  <sheetViews>
    <sheetView zoomScalePageLayoutView="0" workbookViewId="0" topLeftCell="A1">
      <selection activeCell="E8" sqref="E8"/>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402" customWidth="1"/>
    <col min="6" max="6" width="12.375" style="97" customWidth="1"/>
    <col min="7" max="7" width="12.375" style="236" customWidth="1"/>
    <col min="8" max="8" width="11.625" style="236" customWidth="1"/>
  </cols>
  <sheetData>
    <row r="1" spans="1:6" ht="48.75" customHeight="1">
      <c r="A1" s="570" t="s">
        <v>5</v>
      </c>
      <c r="B1" s="570"/>
      <c r="C1" s="570"/>
      <c r="D1" s="570"/>
      <c r="E1" s="570"/>
      <c r="F1" s="570"/>
    </row>
    <row r="2" spans="5:6" ht="19.5" customHeight="1">
      <c r="E2" s="400"/>
      <c r="F2" s="95"/>
    </row>
    <row r="3" spans="5:6" ht="19.5" customHeight="1">
      <c r="E3" s="400"/>
      <c r="F3" s="96" t="s">
        <v>476</v>
      </c>
    </row>
    <row r="4" spans="1:8" ht="19.5" customHeight="1">
      <c r="A4" s="396"/>
      <c r="B4" s="396"/>
      <c r="C4" s="396"/>
      <c r="D4" s="396"/>
      <c r="E4" s="401"/>
      <c r="F4" s="639" t="s">
        <v>12</v>
      </c>
      <c r="G4" s="640"/>
      <c r="H4" s="641"/>
    </row>
    <row r="5" spans="1:8" ht="90.75" customHeight="1">
      <c r="A5" s="13" t="s">
        <v>493</v>
      </c>
      <c r="B5" s="391" t="s">
        <v>437</v>
      </c>
      <c r="C5" s="391" t="s">
        <v>438</v>
      </c>
      <c r="D5" s="13" t="s">
        <v>561</v>
      </c>
      <c r="E5" s="391" t="s">
        <v>477</v>
      </c>
      <c r="F5" s="395" t="s">
        <v>6</v>
      </c>
      <c r="G5" s="392" t="s">
        <v>10</v>
      </c>
      <c r="H5" s="392" t="s">
        <v>11</v>
      </c>
    </row>
    <row r="6" spans="1:8" s="57" customFormat="1" ht="7.5" customHeight="1">
      <c r="A6" s="16">
        <v>1</v>
      </c>
      <c r="B6" s="16">
        <v>2</v>
      </c>
      <c r="C6" s="16">
        <v>3</v>
      </c>
      <c r="D6" s="16">
        <v>4</v>
      </c>
      <c r="E6" s="215">
        <v>5</v>
      </c>
      <c r="F6" s="84">
        <v>6</v>
      </c>
      <c r="G6" s="397">
        <v>7</v>
      </c>
      <c r="H6" s="397">
        <v>8</v>
      </c>
    </row>
    <row r="7" spans="1:8" ht="168.75">
      <c r="A7" s="73">
        <v>1</v>
      </c>
      <c r="B7" s="73" t="s">
        <v>642</v>
      </c>
      <c r="C7" s="73" t="s">
        <v>647</v>
      </c>
      <c r="D7" s="73">
        <v>2830</v>
      </c>
      <c r="E7" s="77" t="s">
        <v>9</v>
      </c>
      <c r="F7" s="98">
        <f>2!E16</f>
        <v>49680</v>
      </c>
      <c r="G7" s="398">
        <f>2!F16</f>
        <v>49680</v>
      </c>
      <c r="H7" s="399"/>
    </row>
    <row r="8" spans="1:8" ht="123.75">
      <c r="A8" s="73">
        <v>2</v>
      </c>
      <c r="B8" s="73">
        <v>754</v>
      </c>
      <c r="C8" s="73">
        <v>75495</v>
      </c>
      <c r="D8" s="73">
        <v>2320</v>
      </c>
      <c r="E8" s="77" t="s">
        <v>434</v>
      </c>
      <c r="F8" s="98">
        <f>2!E190</f>
        <v>65600</v>
      </c>
      <c r="G8" s="398">
        <f>2!F190</f>
        <v>65600</v>
      </c>
      <c r="H8" s="399"/>
    </row>
    <row r="9" spans="1:8" ht="157.5">
      <c r="A9" s="73">
        <v>3</v>
      </c>
      <c r="B9" s="73">
        <v>801</v>
      </c>
      <c r="C9" s="73">
        <v>80130</v>
      </c>
      <c r="D9" s="73">
        <v>2330</v>
      </c>
      <c r="E9" s="77" t="s">
        <v>373</v>
      </c>
      <c r="F9" s="98">
        <f>2!J246</f>
        <v>30000</v>
      </c>
      <c r="G9" s="398">
        <v>30000</v>
      </c>
      <c r="H9" s="399"/>
    </row>
    <row r="10" spans="1:8" ht="112.5">
      <c r="A10" s="329">
        <v>4</v>
      </c>
      <c r="B10" s="73">
        <v>801</v>
      </c>
      <c r="C10" s="73">
        <v>80130</v>
      </c>
      <c r="D10" s="73">
        <v>2320</v>
      </c>
      <c r="E10" s="77" t="s">
        <v>317</v>
      </c>
      <c r="F10" s="98">
        <f>2!J247</f>
        <v>10000</v>
      </c>
      <c r="G10" s="398">
        <v>10000</v>
      </c>
      <c r="H10" s="399"/>
    </row>
    <row r="11" spans="1:8" ht="67.5">
      <c r="A11" s="329">
        <v>5</v>
      </c>
      <c r="B11" s="73">
        <v>801</v>
      </c>
      <c r="C11" s="73">
        <v>80146</v>
      </c>
      <c r="D11" s="73">
        <v>2310</v>
      </c>
      <c r="E11" s="77" t="s">
        <v>4</v>
      </c>
      <c r="F11" s="98">
        <f>2!J309</f>
        <v>10000</v>
      </c>
      <c r="G11" s="398">
        <v>10000</v>
      </c>
      <c r="H11" s="399"/>
    </row>
    <row r="12" spans="1:8" ht="146.25">
      <c r="A12" s="73">
        <v>6</v>
      </c>
      <c r="B12" s="73">
        <v>852</v>
      </c>
      <c r="C12" s="73">
        <v>85201</v>
      </c>
      <c r="D12" s="73">
        <v>2320</v>
      </c>
      <c r="E12" s="77" t="s">
        <v>370</v>
      </c>
      <c r="F12" s="98">
        <f>2!J385</f>
        <v>178000</v>
      </c>
      <c r="G12" s="399">
        <v>178000</v>
      </c>
      <c r="H12" s="399"/>
    </row>
    <row r="13" spans="1:8" ht="123.75">
      <c r="A13" s="73">
        <v>7</v>
      </c>
      <c r="B13" s="73">
        <v>852</v>
      </c>
      <c r="C13" s="73">
        <v>85204</v>
      </c>
      <c r="D13" s="73">
        <v>2320</v>
      </c>
      <c r="E13" s="77" t="s">
        <v>374</v>
      </c>
      <c r="F13" s="98">
        <f>2!J466</f>
        <v>74000</v>
      </c>
      <c r="G13" s="399">
        <v>74000</v>
      </c>
      <c r="H13" s="399"/>
    </row>
    <row r="14" spans="1:8" ht="45">
      <c r="A14" s="73">
        <v>8</v>
      </c>
      <c r="B14" s="73">
        <v>853</v>
      </c>
      <c r="C14" s="73">
        <v>85311</v>
      </c>
      <c r="D14" s="73">
        <v>2320</v>
      </c>
      <c r="E14" s="77" t="s">
        <v>195</v>
      </c>
      <c r="F14" s="98">
        <f>2!J518</f>
        <v>19300</v>
      </c>
      <c r="G14" s="399">
        <v>19300</v>
      </c>
      <c r="H14" s="399"/>
    </row>
    <row r="15" spans="1:8" ht="146.25" hidden="1">
      <c r="A15" s="73">
        <v>9</v>
      </c>
      <c r="B15" s="73"/>
      <c r="C15" s="73">
        <v>85395</v>
      </c>
      <c r="D15" s="265" t="s">
        <v>260</v>
      </c>
      <c r="E15" s="77" t="s">
        <v>583</v>
      </c>
      <c r="F15" s="98">
        <f>2!J572+2!J570</f>
        <v>0</v>
      </c>
      <c r="G15" s="399"/>
      <c r="H15" s="399"/>
    </row>
    <row r="16" spans="1:8" ht="137.25" customHeight="1" hidden="1">
      <c r="A16" s="73">
        <v>10</v>
      </c>
      <c r="B16" s="73"/>
      <c r="C16" s="73"/>
      <c r="D16" s="266" t="s">
        <v>259</v>
      </c>
      <c r="E16" s="77" t="s">
        <v>583</v>
      </c>
      <c r="F16" s="98">
        <f>2!J573+2!J571</f>
        <v>0</v>
      </c>
      <c r="G16" s="399"/>
      <c r="H16" s="399"/>
    </row>
    <row r="17" spans="1:8" ht="213.75">
      <c r="A17" s="73">
        <v>11</v>
      </c>
      <c r="B17" s="73">
        <v>854</v>
      </c>
      <c r="C17" s="73">
        <v>85406</v>
      </c>
      <c r="D17" s="73">
        <v>2310</v>
      </c>
      <c r="E17" s="77" t="s">
        <v>371</v>
      </c>
      <c r="F17" s="98">
        <f>2!J619</f>
        <v>304720</v>
      </c>
      <c r="G17" s="399">
        <v>304720</v>
      </c>
      <c r="H17" s="399"/>
    </row>
    <row r="18" spans="1:8" ht="90">
      <c r="A18" s="73">
        <v>12</v>
      </c>
      <c r="B18" s="73"/>
      <c r="C18" s="73">
        <v>92116</v>
      </c>
      <c r="D18" s="73">
        <v>2310</v>
      </c>
      <c r="E18" s="77" t="s">
        <v>372</v>
      </c>
      <c r="F18" s="98">
        <f>2!J681</f>
        <v>64000</v>
      </c>
      <c r="G18" s="399">
        <v>64000</v>
      </c>
      <c r="H18" s="399"/>
    </row>
    <row r="19" spans="1:8" ht="45">
      <c r="A19" s="73">
        <v>13</v>
      </c>
      <c r="B19" s="73"/>
      <c r="C19" s="73">
        <v>92108</v>
      </c>
      <c r="D19" s="73">
        <v>2820</v>
      </c>
      <c r="E19" s="77" t="s">
        <v>353</v>
      </c>
      <c r="F19" s="98">
        <f>2!J679</f>
        <v>5000</v>
      </c>
      <c r="G19" s="399"/>
      <c r="H19" s="399">
        <v>5000</v>
      </c>
    </row>
    <row r="20" spans="1:8" ht="45">
      <c r="A20" s="73">
        <v>14</v>
      </c>
      <c r="B20" s="73"/>
      <c r="C20" s="73">
        <v>92195</v>
      </c>
      <c r="D20" s="73">
        <v>2820</v>
      </c>
      <c r="E20" s="77" t="s">
        <v>353</v>
      </c>
      <c r="F20" s="98">
        <f>2!J685</f>
        <v>9000</v>
      </c>
      <c r="G20" s="399"/>
      <c r="H20" s="399">
        <v>9000</v>
      </c>
    </row>
    <row r="21" spans="1:8" ht="45">
      <c r="A21" s="73">
        <v>15</v>
      </c>
      <c r="B21" s="73">
        <v>926</v>
      </c>
      <c r="C21" s="73">
        <v>92605</v>
      </c>
      <c r="D21" s="73">
        <v>2820</v>
      </c>
      <c r="E21" s="77" t="s">
        <v>353</v>
      </c>
      <c r="F21" s="98">
        <f>2!J698</f>
        <v>50000</v>
      </c>
      <c r="G21" s="399"/>
      <c r="H21" s="399">
        <v>50000</v>
      </c>
    </row>
    <row r="22" spans="1:8" s="52" customFormat="1" ht="30" customHeight="1">
      <c r="A22" s="615" t="s">
        <v>557</v>
      </c>
      <c r="B22" s="615"/>
      <c r="C22" s="615"/>
      <c r="D22" s="615"/>
      <c r="E22" s="615"/>
      <c r="F22" s="110">
        <f>SUM(F7:F21)</f>
        <v>869300</v>
      </c>
      <c r="G22" s="110">
        <f>SUM(G7:G21)</f>
        <v>805300</v>
      </c>
      <c r="H22" s="110">
        <f>SUM(H7:H21)</f>
        <v>64000</v>
      </c>
    </row>
    <row r="23" spans="1:8" ht="12.75">
      <c r="A23" s="638" t="s">
        <v>221</v>
      </c>
      <c r="B23" s="638"/>
      <c r="C23" s="638"/>
      <c r="D23" s="638"/>
      <c r="E23" s="638"/>
      <c r="F23" s="393">
        <f>F15+F16</f>
        <v>0</v>
      </c>
      <c r="G23" s="642"/>
      <c r="H23" s="643"/>
    </row>
    <row r="24" spans="1:8" ht="12.75">
      <c r="A24" s="638"/>
      <c r="B24" s="638"/>
      <c r="C24" s="638"/>
      <c r="D24" s="638"/>
      <c r="E24" s="638"/>
      <c r="F24" s="394"/>
      <c r="G24" s="644"/>
      <c r="H24" s="645"/>
    </row>
  </sheetData>
  <sheetProtection/>
  <mergeCells count="5">
    <mergeCell ref="A1:F1"/>
    <mergeCell ref="A22:E22"/>
    <mergeCell ref="A23:E24"/>
    <mergeCell ref="F4:H4"/>
    <mergeCell ref="G23:H24"/>
  </mergeCells>
  <printOptions horizontalCentered="1"/>
  <pageMargins left="0.3937007874015748" right="0.3937007874015748" top="1.67" bottom="0.984251968503937" header="0.5118110236220472" footer="0.5118110236220472"/>
  <pageSetup firstPageNumber="69" useFirstPageNumber="1" horizontalDpi="600" verticalDpi="600" orientation="portrait" paperSize="9" scale="95" r:id="rId1"/>
  <headerFooter alignWithMargins="0">
    <oddHeader>&amp;R&amp;9Załącznik nr 12
do uchwały Zarządu Powiatu 
nr 260/09
z dnia 9.11.2009 r.</oddHeader>
    <oddFooter>&amp;C&amp;P</oddFooter>
  </headerFooter>
</worksheet>
</file>

<file path=xl/worksheets/sheet14.xml><?xml version="1.0" encoding="utf-8"?>
<worksheet xmlns="http://schemas.openxmlformats.org/spreadsheetml/2006/main" xmlns:r="http://schemas.openxmlformats.org/officeDocument/2006/relationships">
  <dimension ref="A1:J28"/>
  <sheetViews>
    <sheetView zoomScalePageLayoutView="0" workbookViewId="0" topLeftCell="A2">
      <selection activeCell="B15" sqref="B15"/>
    </sheetView>
  </sheetViews>
  <sheetFormatPr defaultColWidth="9.00390625" defaultRowHeight="12.75"/>
  <cols>
    <col min="1" max="1" width="5.25390625" style="1" bestFit="1" customWidth="1"/>
    <col min="2" max="2" width="63.125" style="1" customWidth="1"/>
    <col min="3" max="3" width="17.75390625" style="70" customWidth="1"/>
    <col min="4" max="16384" width="9.125" style="1" customWidth="1"/>
  </cols>
  <sheetData>
    <row r="1" spans="1:10" ht="19.5" customHeight="1">
      <c r="A1" s="646" t="s">
        <v>636</v>
      </c>
      <c r="B1" s="646"/>
      <c r="C1" s="646"/>
      <c r="D1" s="5"/>
      <c r="E1" s="5"/>
      <c r="F1" s="5"/>
      <c r="G1" s="5"/>
      <c r="H1" s="5"/>
      <c r="I1" s="5"/>
      <c r="J1" s="5"/>
    </row>
    <row r="2" spans="1:7" ht="19.5" customHeight="1">
      <c r="A2" s="646" t="s">
        <v>480</v>
      </c>
      <c r="B2" s="646"/>
      <c r="C2" s="646"/>
      <c r="D2" s="5"/>
      <c r="E2" s="5"/>
      <c r="F2" s="5"/>
      <c r="G2" s="5"/>
    </row>
    <row r="5" ht="12.75">
      <c r="C5" s="66" t="s">
        <v>476</v>
      </c>
    </row>
    <row r="6" spans="1:10" ht="19.5" customHeight="1">
      <c r="A6" s="13" t="s">
        <v>493</v>
      </c>
      <c r="B6" s="13" t="s">
        <v>435</v>
      </c>
      <c r="C6" s="67" t="s">
        <v>722</v>
      </c>
      <c r="D6" s="6"/>
      <c r="E6" s="6"/>
      <c r="F6" s="6"/>
      <c r="G6" s="6"/>
      <c r="H6" s="6"/>
      <c r="I6" s="7"/>
      <c r="J6" s="7"/>
    </row>
    <row r="7" spans="1:10" ht="19.5" customHeight="1">
      <c r="A7" s="21" t="s">
        <v>445</v>
      </c>
      <c r="B7" s="31" t="s">
        <v>495</v>
      </c>
      <c r="C7" s="68">
        <v>580000</v>
      </c>
      <c r="D7" s="6"/>
      <c r="E7" s="6"/>
      <c r="F7" s="6"/>
      <c r="G7" s="6"/>
      <c r="H7" s="6"/>
      <c r="I7" s="7"/>
      <c r="J7" s="7"/>
    </row>
    <row r="8" spans="1:10" ht="19.5" customHeight="1">
      <c r="A8" s="21" t="s">
        <v>450</v>
      </c>
      <c r="B8" s="31" t="s">
        <v>444</v>
      </c>
      <c r="C8" s="68">
        <f>SUM(C9:C10)</f>
        <v>1000000</v>
      </c>
      <c r="D8" s="6"/>
      <c r="E8" s="6"/>
      <c r="F8" s="6"/>
      <c r="G8" s="6"/>
      <c r="H8" s="6"/>
      <c r="I8" s="7"/>
      <c r="J8" s="7"/>
    </row>
    <row r="9" spans="1:10" ht="19.5" customHeight="1">
      <c r="A9" s="22">
        <v>1</v>
      </c>
      <c r="B9" s="111" t="s">
        <v>125</v>
      </c>
      <c r="C9" s="112"/>
      <c r="D9" s="6"/>
      <c r="E9" s="6"/>
      <c r="F9" s="6"/>
      <c r="G9" s="6"/>
      <c r="H9" s="6"/>
      <c r="I9" s="7"/>
      <c r="J9" s="7"/>
    </row>
    <row r="10" spans="1:10" ht="19.5" customHeight="1">
      <c r="A10" s="22"/>
      <c r="B10" s="111" t="s">
        <v>34</v>
      </c>
      <c r="C10" s="112">
        <v>1000000</v>
      </c>
      <c r="D10" s="6"/>
      <c r="E10" s="6"/>
      <c r="F10" s="6"/>
      <c r="G10" s="6"/>
      <c r="H10" s="6"/>
      <c r="I10" s="7"/>
      <c r="J10" s="7"/>
    </row>
    <row r="11" spans="1:10" ht="19.5" customHeight="1">
      <c r="A11" s="21" t="s">
        <v>451</v>
      </c>
      <c r="B11" s="31" t="s">
        <v>443</v>
      </c>
      <c r="C11" s="68">
        <f>SUM(C12:C17)</f>
        <v>1568575</v>
      </c>
      <c r="D11" s="6"/>
      <c r="E11" s="6"/>
      <c r="F11" s="6"/>
      <c r="G11" s="6"/>
      <c r="H11" s="6"/>
      <c r="I11" s="7"/>
      <c r="J11" s="7"/>
    </row>
    <row r="12" spans="1:10" ht="19.5" customHeight="1">
      <c r="A12" s="22">
        <v>1</v>
      </c>
      <c r="B12" s="143" t="s">
        <v>472</v>
      </c>
      <c r="C12" s="112">
        <v>240000</v>
      </c>
      <c r="D12" s="6"/>
      <c r="E12" s="6"/>
      <c r="F12" s="6"/>
      <c r="G12" s="6"/>
      <c r="H12" s="6"/>
      <c r="I12" s="7"/>
      <c r="J12" s="7"/>
    </row>
    <row r="13" spans="1:10" ht="39" thickBot="1">
      <c r="A13" s="22">
        <v>2</v>
      </c>
      <c r="B13" s="143" t="s">
        <v>218</v>
      </c>
      <c r="C13" s="112">
        <f>8*20000+50000</f>
        <v>210000</v>
      </c>
      <c r="D13" s="6"/>
      <c r="E13" s="6"/>
      <c r="F13" s="6"/>
      <c r="G13" s="6"/>
      <c r="H13" s="6"/>
      <c r="I13" s="7"/>
      <c r="J13" s="7"/>
    </row>
    <row r="14" spans="1:10" ht="15">
      <c r="A14" s="22" t="s">
        <v>349</v>
      </c>
      <c r="B14" s="387" t="s">
        <v>723</v>
      </c>
      <c r="C14" s="112">
        <v>50000</v>
      </c>
      <c r="D14" s="6"/>
      <c r="E14" s="6"/>
      <c r="F14" s="6"/>
      <c r="G14" s="6"/>
      <c r="H14" s="6"/>
      <c r="I14" s="7"/>
      <c r="J14" s="7"/>
    </row>
    <row r="15" spans="1:10" ht="25.5">
      <c r="A15" s="22">
        <v>3</v>
      </c>
      <c r="B15" s="143" t="s">
        <v>357</v>
      </c>
      <c r="C15" s="112">
        <v>40000</v>
      </c>
      <c r="D15" s="6"/>
      <c r="E15" s="6"/>
      <c r="F15" s="6"/>
      <c r="G15" s="6"/>
      <c r="H15" s="6"/>
      <c r="I15" s="7"/>
      <c r="J15" s="7"/>
    </row>
    <row r="16" spans="1:10" ht="38.25">
      <c r="A16" s="22">
        <v>4</v>
      </c>
      <c r="B16" s="143" t="s">
        <v>240</v>
      </c>
      <c r="C16" s="112">
        <v>40000</v>
      </c>
      <c r="D16" s="6"/>
      <c r="E16" s="6"/>
      <c r="F16" s="6"/>
      <c r="G16" s="6"/>
      <c r="H16" s="6"/>
      <c r="I16" s="7"/>
      <c r="J16" s="7"/>
    </row>
    <row r="17" spans="1:10" ht="19.5" customHeight="1">
      <c r="A17" s="22">
        <v>5</v>
      </c>
      <c r="B17" s="143" t="s">
        <v>219</v>
      </c>
      <c r="C17" s="112">
        <f>3a!J34</f>
        <v>988575</v>
      </c>
      <c r="D17" s="6"/>
      <c r="E17" s="6"/>
      <c r="F17" s="6"/>
      <c r="G17" s="6"/>
      <c r="H17" s="6"/>
      <c r="I17" s="7"/>
      <c r="J17" s="7"/>
    </row>
    <row r="18" spans="1:10" ht="19.5" customHeight="1">
      <c r="A18" s="21" t="s">
        <v>473</v>
      </c>
      <c r="B18" s="31" t="s">
        <v>497</v>
      </c>
      <c r="C18" s="68">
        <f>C7+C8-C11</f>
        <v>11425</v>
      </c>
      <c r="D18" s="6"/>
      <c r="E18" s="6"/>
      <c r="F18" s="6"/>
      <c r="G18" s="6"/>
      <c r="H18" s="6"/>
      <c r="I18" s="7"/>
      <c r="J18" s="7"/>
    </row>
    <row r="19" spans="1:10" ht="15">
      <c r="A19" s="6"/>
      <c r="B19" s="6"/>
      <c r="C19" s="69"/>
      <c r="D19" s="6"/>
      <c r="E19" s="6"/>
      <c r="F19" s="6"/>
      <c r="G19" s="6"/>
      <c r="H19" s="6"/>
      <c r="I19" s="7"/>
      <c r="J19" s="7"/>
    </row>
    <row r="20" spans="1:10" ht="15">
      <c r="A20" s="6"/>
      <c r="B20" s="6"/>
      <c r="C20" s="69"/>
      <c r="D20" s="6"/>
      <c r="E20" s="6"/>
      <c r="F20" s="6"/>
      <c r="G20" s="6"/>
      <c r="H20" s="6"/>
      <c r="I20" s="7"/>
      <c r="J20" s="7"/>
    </row>
    <row r="21" spans="1:10" ht="15">
      <c r="A21" s="6"/>
      <c r="B21" s="6"/>
      <c r="C21" s="69"/>
      <c r="D21" s="6"/>
      <c r="E21" s="6"/>
      <c r="F21" s="6"/>
      <c r="G21" s="6"/>
      <c r="H21" s="6"/>
      <c r="I21" s="7"/>
      <c r="J21" s="7"/>
    </row>
    <row r="22" spans="1:10" ht="15">
      <c r="A22" s="6"/>
      <c r="B22" s="6"/>
      <c r="C22" s="69"/>
      <c r="D22" s="6"/>
      <c r="E22" s="6"/>
      <c r="F22" s="6"/>
      <c r="G22" s="6"/>
      <c r="H22" s="6"/>
      <c r="I22" s="7"/>
      <c r="J22" s="7"/>
    </row>
    <row r="23" spans="1:10" ht="15">
      <c r="A23" s="6"/>
      <c r="B23" s="6"/>
      <c r="C23" s="69"/>
      <c r="D23" s="6"/>
      <c r="E23" s="6"/>
      <c r="F23" s="6"/>
      <c r="G23" s="6"/>
      <c r="H23" s="6"/>
      <c r="I23" s="7"/>
      <c r="J23" s="7"/>
    </row>
    <row r="24" spans="1:10" ht="15">
      <c r="A24" s="6"/>
      <c r="B24" s="6"/>
      <c r="C24" s="69"/>
      <c r="D24" s="6"/>
      <c r="E24" s="6"/>
      <c r="F24" s="6"/>
      <c r="G24" s="6"/>
      <c r="H24" s="6"/>
      <c r="I24" s="7"/>
      <c r="J24" s="7"/>
    </row>
    <row r="25" spans="1:10" ht="15">
      <c r="A25" s="7"/>
      <c r="B25" s="7"/>
      <c r="C25" s="69"/>
      <c r="D25" s="7"/>
      <c r="E25" s="7"/>
      <c r="F25" s="7"/>
      <c r="G25" s="7"/>
      <c r="H25" s="7"/>
      <c r="I25" s="7"/>
      <c r="J25" s="7"/>
    </row>
    <row r="26" spans="1:10" ht="15">
      <c r="A26" s="7"/>
      <c r="B26" s="7"/>
      <c r="C26" s="69"/>
      <c r="D26" s="7"/>
      <c r="E26" s="7"/>
      <c r="F26" s="7"/>
      <c r="G26" s="7"/>
      <c r="H26" s="7"/>
      <c r="I26" s="7"/>
      <c r="J26" s="7"/>
    </row>
    <row r="27" spans="1:10" ht="15">
      <c r="A27" s="7"/>
      <c r="B27" s="7"/>
      <c r="C27" s="69"/>
      <c r="D27" s="7"/>
      <c r="E27" s="7"/>
      <c r="F27" s="7"/>
      <c r="G27" s="7"/>
      <c r="H27" s="7"/>
      <c r="I27" s="7"/>
      <c r="J27" s="7"/>
    </row>
    <row r="28" spans="1:10" ht="15">
      <c r="A28" s="7"/>
      <c r="B28" s="7"/>
      <c r="C28" s="69"/>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firstPageNumber="72" useFirstPageNumber="1" horizontalDpi="600" verticalDpi="600" orientation="portrait" paperSize="9" r:id="rId1"/>
  <headerFooter alignWithMargins="0">
    <oddHeader>&amp;RZałącznik nr 13
 do uchwały Zarządu Powiatu nr 260/09
z dnia 9.11.2009 r.</oddHeader>
    <oddFooter>&amp;C&amp;P</oddFoot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70" customWidth="1"/>
    <col min="4" max="16384" width="9.125" style="1" customWidth="1"/>
  </cols>
  <sheetData>
    <row r="1" spans="1:10" ht="19.5" customHeight="1">
      <c r="A1" s="646" t="s">
        <v>636</v>
      </c>
      <c r="B1" s="646"/>
      <c r="C1" s="646"/>
      <c r="D1" s="5"/>
      <c r="E1" s="5"/>
      <c r="F1" s="5"/>
      <c r="G1" s="5"/>
      <c r="H1" s="5"/>
      <c r="I1" s="5"/>
      <c r="J1" s="5"/>
    </row>
    <row r="2" spans="1:7" ht="19.5" customHeight="1">
      <c r="A2" s="646" t="s">
        <v>535</v>
      </c>
      <c r="B2" s="646"/>
      <c r="C2" s="646"/>
      <c r="D2" s="5"/>
      <c r="E2" s="5"/>
      <c r="F2" s="5"/>
      <c r="G2" s="5"/>
    </row>
    <row r="4" ht="12.75">
      <c r="C4" s="66" t="s">
        <v>476</v>
      </c>
    </row>
    <row r="5" spans="1:10" ht="19.5" customHeight="1">
      <c r="A5" s="13" t="s">
        <v>493</v>
      </c>
      <c r="B5" s="13" t="s">
        <v>435</v>
      </c>
      <c r="C5" s="67" t="s">
        <v>722</v>
      </c>
      <c r="D5" s="6"/>
      <c r="E5" s="6"/>
      <c r="F5" s="6"/>
      <c r="G5" s="6"/>
      <c r="H5" s="6"/>
      <c r="I5" s="7"/>
      <c r="J5" s="7"/>
    </row>
    <row r="6" spans="1:10" ht="19.5" customHeight="1">
      <c r="A6" s="21" t="s">
        <v>445</v>
      </c>
      <c r="B6" s="31" t="s">
        <v>495</v>
      </c>
      <c r="C6" s="68">
        <v>102690</v>
      </c>
      <c r="D6" s="6"/>
      <c r="E6" s="6"/>
      <c r="F6" s="6"/>
      <c r="G6" s="6"/>
      <c r="H6" s="6"/>
      <c r="I6" s="7"/>
      <c r="J6" s="7"/>
    </row>
    <row r="7" spans="1:10" ht="19.5" customHeight="1">
      <c r="A7" s="21" t="s">
        <v>450</v>
      </c>
      <c r="B7" s="31" t="s">
        <v>444</v>
      </c>
      <c r="C7" s="68">
        <f>SUM(C8:C10)</f>
        <v>1154000</v>
      </c>
      <c r="D7" s="6"/>
      <c r="E7" s="6"/>
      <c r="F7" s="6"/>
      <c r="G7" s="6"/>
      <c r="H7" s="6"/>
      <c r="I7" s="7"/>
      <c r="J7" s="7"/>
    </row>
    <row r="8" spans="1:10" ht="19.5" customHeight="1">
      <c r="A8" s="22" t="s">
        <v>446</v>
      </c>
      <c r="B8" s="111" t="s">
        <v>126</v>
      </c>
      <c r="C8" s="112">
        <v>1150000</v>
      </c>
      <c r="D8" s="6"/>
      <c r="E8" s="6"/>
      <c r="F8" s="6"/>
      <c r="G8" s="6"/>
      <c r="H8" s="6"/>
      <c r="I8" s="7"/>
      <c r="J8" s="7"/>
    </row>
    <row r="9" spans="1:10" ht="19.5" customHeight="1">
      <c r="A9" s="22" t="s">
        <v>447</v>
      </c>
      <c r="B9" s="111" t="s">
        <v>127</v>
      </c>
      <c r="C9" s="112">
        <v>1000</v>
      </c>
      <c r="D9" s="6"/>
      <c r="E9" s="6"/>
      <c r="F9" s="6"/>
      <c r="G9" s="6"/>
      <c r="H9" s="6"/>
      <c r="I9" s="7"/>
      <c r="J9" s="7"/>
    </row>
    <row r="10" spans="1:10" ht="19.5" customHeight="1">
      <c r="A10" s="22" t="s">
        <v>448</v>
      </c>
      <c r="B10" s="111" t="s">
        <v>128</v>
      </c>
      <c r="C10" s="112">
        <v>3000</v>
      </c>
      <c r="D10" s="6"/>
      <c r="E10" s="6"/>
      <c r="F10" s="6"/>
      <c r="G10" s="6"/>
      <c r="H10" s="6"/>
      <c r="I10" s="7"/>
      <c r="J10" s="7"/>
    </row>
    <row r="11" spans="1:10" ht="19.5" customHeight="1">
      <c r="A11" s="21" t="s">
        <v>451</v>
      </c>
      <c r="B11" s="31" t="s">
        <v>443</v>
      </c>
      <c r="C11" s="68">
        <f>C12+C18</f>
        <v>1086240</v>
      </c>
      <c r="D11" s="6"/>
      <c r="E11" s="6"/>
      <c r="F11" s="6"/>
      <c r="G11" s="6"/>
      <c r="H11" s="6"/>
      <c r="I11" s="7"/>
      <c r="J11" s="7"/>
    </row>
    <row r="12" spans="1:10" ht="19.5" customHeight="1">
      <c r="A12" s="22" t="s">
        <v>446</v>
      </c>
      <c r="B12" s="111" t="s">
        <v>472</v>
      </c>
      <c r="C12" s="112">
        <f>SUM(C13:C17)</f>
        <v>1086240</v>
      </c>
      <c r="D12" s="6"/>
      <c r="E12" s="6"/>
      <c r="F12" s="6"/>
      <c r="G12" s="6"/>
      <c r="H12" s="6"/>
      <c r="I12" s="7"/>
      <c r="J12" s="7"/>
    </row>
    <row r="13" spans="1:10" ht="15" customHeight="1">
      <c r="A13" s="22"/>
      <c r="B13" s="64" t="s">
        <v>80</v>
      </c>
      <c r="C13" s="112">
        <v>230800</v>
      </c>
      <c r="D13" s="6"/>
      <c r="E13" s="6"/>
      <c r="F13" s="6"/>
      <c r="G13" s="6"/>
      <c r="H13" s="6"/>
      <c r="I13" s="7"/>
      <c r="J13" s="7"/>
    </row>
    <row r="14" spans="1:10" ht="15" customHeight="1">
      <c r="A14" s="22"/>
      <c r="B14" s="64" t="s">
        <v>368</v>
      </c>
      <c r="C14" s="112"/>
      <c r="D14" s="6"/>
      <c r="E14" s="6"/>
      <c r="F14" s="6"/>
      <c r="G14" s="6"/>
      <c r="H14" s="6"/>
      <c r="I14" s="7"/>
      <c r="J14" s="7"/>
    </row>
    <row r="15" spans="1:10" ht="15" customHeight="1">
      <c r="A15" s="22"/>
      <c r="B15" s="64" t="s">
        <v>367</v>
      </c>
      <c r="C15" s="112">
        <v>2000</v>
      </c>
      <c r="D15" s="6"/>
      <c r="E15" s="6"/>
      <c r="F15" s="6"/>
      <c r="G15" s="6"/>
      <c r="H15" s="6"/>
      <c r="I15" s="7"/>
      <c r="J15" s="7"/>
    </row>
    <row r="16" spans="1:10" ht="15" customHeight="1">
      <c r="A16" s="22"/>
      <c r="B16" s="64" t="s">
        <v>129</v>
      </c>
      <c r="C16" s="112">
        <v>823640</v>
      </c>
      <c r="D16" s="6"/>
      <c r="E16" s="6"/>
      <c r="F16" s="6"/>
      <c r="G16" s="6"/>
      <c r="H16" s="6"/>
      <c r="I16" s="7"/>
      <c r="J16" s="7"/>
    </row>
    <row r="17" spans="1:10" ht="15" customHeight="1">
      <c r="A17" s="22"/>
      <c r="B17" s="328" t="s">
        <v>348</v>
      </c>
      <c r="C17" s="112">
        <f>26800+3000</f>
        <v>29800</v>
      </c>
      <c r="D17" s="6"/>
      <c r="E17" s="6"/>
      <c r="F17" s="6"/>
      <c r="G17" s="6"/>
      <c r="H17" s="6"/>
      <c r="I17" s="7"/>
      <c r="J17" s="7"/>
    </row>
    <row r="18" spans="1:10" ht="19.5" customHeight="1">
      <c r="A18" s="22" t="s">
        <v>447</v>
      </c>
      <c r="B18" s="111" t="s">
        <v>220</v>
      </c>
      <c r="C18" s="112"/>
      <c r="D18" s="6"/>
      <c r="E18" s="6"/>
      <c r="F18" s="6"/>
      <c r="G18" s="6"/>
      <c r="H18" s="6"/>
      <c r="I18" s="7"/>
      <c r="J18" s="7"/>
    </row>
    <row r="19" spans="1:10" ht="19.5" customHeight="1">
      <c r="A19" s="21" t="s">
        <v>473</v>
      </c>
      <c r="B19" s="31" t="s">
        <v>497</v>
      </c>
      <c r="C19" s="68">
        <f>C6+C7-C11</f>
        <v>170450</v>
      </c>
      <c r="D19" s="6"/>
      <c r="E19" s="6"/>
      <c r="F19" s="6"/>
      <c r="G19" s="6"/>
      <c r="H19" s="6"/>
      <c r="I19" s="7"/>
      <c r="J19" s="7"/>
    </row>
    <row r="20" spans="1:10" ht="15">
      <c r="A20" s="6"/>
      <c r="B20" s="6"/>
      <c r="C20" s="69"/>
      <c r="D20" s="6"/>
      <c r="E20" s="6"/>
      <c r="F20" s="6"/>
      <c r="G20" s="6"/>
      <c r="H20" s="6"/>
      <c r="I20" s="7"/>
      <c r="J20" s="7"/>
    </row>
    <row r="21" spans="1:10" ht="15">
      <c r="A21" s="6"/>
      <c r="B21" s="6"/>
      <c r="C21" s="69"/>
      <c r="D21" s="6"/>
      <c r="E21" s="6"/>
      <c r="F21" s="6"/>
      <c r="G21" s="6"/>
      <c r="H21" s="6"/>
      <c r="I21" s="7"/>
      <c r="J21" s="7"/>
    </row>
    <row r="22" spans="1:10" ht="15">
      <c r="A22" s="6"/>
      <c r="B22" s="6"/>
      <c r="C22" s="69"/>
      <c r="D22" s="6"/>
      <c r="E22" s="6"/>
      <c r="F22" s="6"/>
      <c r="G22" s="6"/>
      <c r="H22" s="6"/>
      <c r="I22" s="7"/>
      <c r="J22" s="7"/>
    </row>
    <row r="23" spans="1:10" ht="15">
      <c r="A23" s="6"/>
      <c r="B23" s="6"/>
      <c r="C23" s="69"/>
      <c r="D23" s="6"/>
      <c r="E23" s="6"/>
      <c r="F23" s="6"/>
      <c r="G23" s="6"/>
      <c r="H23" s="6"/>
      <c r="I23" s="7"/>
      <c r="J23" s="7"/>
    </row>
    <row r="24" spans="1:10" ht="15">
      <c r="A24" s="6"/>
      <c r="B24" s="6"/>
      <c r="C24" s="69"/>
      <c r="D24" s="6"/>
      <c r="E24" s="6"/>
      <c r="F24" s="6"/>
      <c r="G24" s="6"/>
      <c r="H24" s="6"/>
      <c r="I24" s="7"/>
      <c r="J24" s="7"/>
    </row>
    <row r="25" spans="1:10" ht="15">
      <c r="A25" s="6"/>
      <c r="B25" s="6"/>
      <c r="C25" s="69"/>
      <c r="D25" s="6"/>
      <c r="E25" s="6"/>
      <c r="F25" s="6"/>
      <c r="G25" s="6"/>
      <c r="H25" s="6"/>
      <c r="I25" s="7"/>
      <c r="J25" s="7"/>
    </row>
    <row r="26" spans="1:10" ht="15">
      <c r="A26" s="7"/>
      <c r="B26" s="7"/>
      <c r="C26" s="69"/>
      <c r="D26" s="7"/>
      <c r="E26" s="7"/>
      <c r="F26" s="7"/>
      <c r="G26" s="7"/>
      <c r="H26" s="7"/>
      <c r="I26" s="7"/>
      <c r="J26" s="7"/>
    </row>
    <row r="27" spans="1:10" ht="15">
      <c r="A27" s="7"/>
      <c r="B27" s="7"/>
      <c r="C27" s="69"/>
      <c r="D27" s="7"/>
      <c r="E27" s="7"/>
      <c r="F27" s="7"/>
      <c r="G27" s="7"/>
      <c r="H27" s="7"/>
      <c r="I27" s="7"/>
      <c r="J27" s="7"/>
    </row>
    <row r="28" spans="1:10" ht="15">
      <c r="A28" s="7"/>
      <c r="B28" s="7"/>
      <c r="C28" s="69"/>
      <c r="D28" s="7"/>
      <c r="E28" s="7"/>
      <c r="F28" s="7"/>
      <c r="G28" s="7"/>
      <c r="H28" s="7"/>
      <c r="I28" s="7"/>
      <c r="J28" s="7"/>
    </row>
    <row r="29" spans="1:10" ht="15">
      <c r="A29" s="7"/>
      <c r="B29" s="7"/>
      <c r="C29" s="69"/>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firstPageNumber="73" useFirstPageNumber="1" horizontalDpi="600" verticalDpi="600" orientation="portrait" paperSize="9" r:id="rId1"/>
  <headerFooter alignWithMargins="0">
    <oddHeader>&amp;RZałącznik nr 14
 do uchwały Zarządu Powiatu nr 260/09
z dnia 9.11.2009 r.</oddHeader>
    <oddFooter>&amp;C&amp;P</oddFoot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570" t="s">
        <v>502</v>
      </c>
      <c r="B1" s="570"/>
      <c r="C1" s="570"/>
      <c r="D1" s="570"/>
      <c r="E1" s="570"/>
      <c r="F1" s="570"/>
    </row>
    <row r="2" spans="1:6" ht="65.25" customHeight="1">
      <c r="A2" s="13" t="s">
        <v>493</v>
      </c>
      <c r="B2" s="13" t="s">
        <v>601</v>
      </c>
      <c r="C2" s="13" t="s">
        <v>498</v>
      </c>
      <c r="D2" s="14" t="s">
        <v>499</v>
      </c>
      <c r="E2" s="14" t="s">
        <v>500</v>
      </c>
      <c r="F2" s="14" t="s">
        <v>501</v>
      </c>
    </row>
    <row r="3" spans="1:6" ht="9" customHeight="1">
      <c r="A3" s="16">
        <v>1</v>
      </c>
      <c r="B3" s="16">
        <v>2</v>
      </c>
      <c r="C3" s="16">
        <v>3</v>
      </c>
      <c r="D3" s="16">
        <v>4</v>
      </c>
      <c r="E3" s="16">
        <v>5</v>
      </c>
      <c r="F3" s="16">
        <v>6</v>
      </c>
    </row>
    <row r="4" spans="1:6" s="32" customFormat="1" ht="47.25" customHeight="1">
      <c r="A4" s="648" t="s">
        <v>446</v>
      </c>
      <c r="B4" s="647" t="s">
        <v>264</v>
      </c>
      <c r="C4" s="651" t="s">
        <v>192</v>
      </c>
      <c r="D4" s="651" t="s">
        <v>192</v>
      </c>
      <c r="E4" s="654" t="s">
        <v>192</v>
      </c>
      <c r="F4" s="80">
        <v>0</v>
      </c>
    </row>
    <row r="5" spans="1:6" s="32" customFormat="1" ht="47.25" customHeight="1">
      <c r="A5" s="649"/>
      <c r="B5" s="647"/>
      <c r="C5" s="652"/>
      <c r="D5" s="652"/>
      <c r="E5" s="655"/>
      <c r="F5" s="81"/>
    </row>
    <row r="6" spans="1:7" s="32" customFormat="1" ht="47.25" customHeight="1">
      <c r="A6" s="650"/>
      <c r="B6" s="647"/>
      <c r="C6" s="653"/>
      <c r="D6" s="653"/>
      <c r="E6" s="656"/>
      <c r="F6" s="82"/>
      <c r="G6" s="32" t="s">
        <v>459</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firstPageNumber="74" useFirstPageNumber="1" horizontalDpi="300" verticalDpi="300" orientation="landscape" paperSize="9" r:id="rId1"/>
  <headerFooter alignWithMargins="0">
    <oddHeader>&amp;RZałącznik nr 15
do uchwały Zarządu Powiatu nr  260/09
z dnia 9.11.2009 r.</oddHeader>
    <oddFooter>&amp;C&amp;P</oddFooter>
  </headerFooter>
</worksheet>
</file>

<file path=xl/worksheets/sheet17.xml><?xml version="1.0" encoding="utf-8"?>
<worksheet xmlns="http://schemas.openxmlformats.org/spreadsheetml/2006/main" xmlns:r="http://schemas.openxmlformats.org/officeDocument/2006/relationships">
  <dimension ref="A1:IQ20"/>
  <sheetViews>
    <sheetView zoomScalePageLayoutView="0" workbookViewId="0" topLeftCell="A1">
      <selection activeCell="A2" sqref="A2"/>
    </sheetView>
  </sheetViews>
  <sheetFormatPr defaultColWidth="9.00390625" defaultRowHeight="12.75"/>
  <cols>
    <col min="4" max="4" width="31.625" style="160" customWidth="1"/>
    <col min="5" max="5" width="22.125" style="0" customWidth="1"/>
  </cols>
  <sheetData>
    <row r="1" spans="1:5" s="149" customFormat="1" ht="14.25">
      <c r="A1" s="208"/>
      <c r="B1" s="145"/>
      <c r="C1" s="146"/>
      <c r="E1" s="147"/>
    </row>
    <row r="2" spans="1:5" s="149" customFormat="1" ht="14.25">
      <c r="A2" s="144"/>
      <c r="B2" s="145"/>
      <c r="C2" s="146"/>
      <c r="D2" s="158"/>
      <c r="E2" s="147"/>
    </row>
    <row r="3" spans="1:5" s="149" customFormat="1" ht="15.75">
      <c r="A3" s="161" t="s">
        <v>222</v>
      </c>
      <c r="B3" s="145"/>
      <c r="C3" s="146"/>
      <c r="D3" s="148"/>
      <c r="E3" s="147"/>
    </row>
    <row r="4" spans="1:5" s="149" customFormat="1" ht="15" thickBot="1">
      <c r="A4" s="144"/>
      <c r="B4" s="145"/>
      <c r="C4" s="146"/>
      <c r="D4" s="159"/>
      <c r="E4" s="147"/>
    </row>
    <row r="5" spans="1:251" s="151" customFormat="1" ht="30" customHeight="1">
      <c r="A5" s="189" t="s">
        <v>130</v>
      </c>
      <c r="B5" s="190" t="s">
        <v>131</v>
      </c>
      <c r="C5" s="191" t="s">
        <v>132</v>
      </c>
      <c r="D5" s="192" t="s">
        <v>223</v>
      </c>
      <c r="E5" s="193" t="s">
        <v>237</v>
      </c>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row>
    <row r="6" spans="1:5" s="152" customFormat="1" ht="15">
      <c r="A6" s="162" t="s">
        <v>637</v>
      </c>
      <c r="B6" s="162"/>
      <c r="C6" s="163"/>
      <c r="D6" s="164" t="s">
        <v>638</v>
      </c>
      <c r="E6" s="165">
        <f>E7</f>
        <v>17000</v>
      </c>
    </row>
    <row r="7" spans="1:5" s="153" customFormat="1" ht="26.25">
      <c r="A7" s="166"/>
      <c r="B7" s="167" t="s">
        <v>136</v>
      </c>
      <c r="C7" s="168"/>
      <c r="D7" s="169" t="s">
        <v>224</v>
      </c>
      <c r="E7" s="170">
        <f>SUM(E8:E8)</f>
        <v>17000</v>
      </c>
    </row>
    <row r="8" spans="1:5" s="153" customFormat="1" ht="14.25">
      <c r="A8" s="166"/>
      <c r="B8" s="166"/>
      <c r="C8" s="168" t="s">
        <v>138</v>
      </c>
      <c r="D8" s="171" t="s">
        <v>225</v>
      </c>
      <c r="E8" s="172">
        <v>17000</v>
      </c>
    </row>
    <row r="9" spans="1:5" s="154" customFormat="1" ht="15">
      <c r="A9" s="173">
        <v>700</v>
      </c>
      <c r="B9" s="173"/>
      <c r="C9" s="174"/>
      <c r="D9" s="175" t="s">
        <v>674</v>
      </c>
      <c r="E9" s="176">
        <f>E10</f>
        <v>459000</v>
      </c>
    </row>
    <row r="10" spans="1:5" s="156" customFormat="1" ht="26.25">
      <c r="A10" s="177"/>
      <c r="B10" s="177">
        <v>70005</v>
      </c>
      <c r="C10" s="178"/>
      <c r="D10" s="179" t="s">
        <v>675</v>
      </c>
      <c r="E10" s="180">
        <f>SUM(E11:E13)</f>
        <v>459000</v>
      </c>
    </row>
    <row r="11" spans="1:5" s="155" customFormat="1" ht="38.25">
      <c r="A11" s="181"/>
      <c r="B11" s="181"/>
      <c r="C11" s="182" t="s">
        <v>226</v>
      </c>
      <c r="D11" s="183" t="s">
        <v>227</v>
      </c>
      <c r="E11" s="184">
        <v>445000</v>
      </c>
    </row>
    <row r="12" spans="1:5" s="155" customFormat="1" ht="89.25">
      <c r="A12" s="181"/>
      <c r="B12" s="181"/>
      <c r="C12" s="182" t="s">
        <v>139</v>
      </c>
      <c r="D12" s="183" t="s">
        <v>228</v>
      </c>
      <c r="E12" s="184">
        <v>10000</v>
      </c>
    </row>
    <row r="13" spans="1:5" s="155" customFormat="1" ht="51">
      <c r="A13" s="181"/>
      <c r="B13" s="181"/>
      <c r="C13" s="182" t="s">
        <v>229</v>
      </c>
      <c r="D13" s="183" t="s">
        <v>230</v>
      </c>
      <c r="E13" s="184">
        <v>4000</v>
      </c>
    </row>
    <row r="14" spans="1:5" s="154" customFormat="1" ht="15">
      <c r="A14" s="173">
        <v>710</v>
      </c>
      <c r="B14" s="173"/>
      <c r="C14" s="174"/>
      <c r="D14" s="175" t="s">
        <v>231</v>
      </c>
      <c r="E14" s="176">
        <f>E15</f>
        <v>1000</v>
      </c>
    </row>
    <row r="15" spans="1:5" s="156" customFormat="1" ht="15">
      <c r="A15" s="177"/>
      <c r="B15" s="177">
        <v>71015</v>
      </c>
      <c r="C15" s="178"/>
      <c r="D15" s="179" t="s">
        <v>232</v>
      </c>
      <c r="E15" s="180">
        <f>SUM(E16)</f>
        <v>1000</v>
      </c>
    </row>
    <row r="16" spans="1:7" s="155" customFormat="1" ht="25.5">
      <c r="A16" s="181"/>
      <c r="B16" s="181"/>
      <c r="C16" s="182" t="s">
        <v>233</v>
      </c>
      <c r="D16" s="183" t="s">
        <v>234</v>
      </c>
      <c r="E16" s="184">
        <v>1000</v>
      </c>
      <c r="G16" s="150"/>
    </row>
    <row r="17" spans="1:5" s="154" customFormat="1" ht="15">
      <c r="A17" s="173">
        <v>852</v>
      </c>
      <c r="B17" s="173"/>
      <c r="C17" s="174"/>
      <c r="D17" s="175" t="s">
        <v>235</v>
      </c>
      <c r="E17" s="176">
        <f>E18</f>
        <v>23000</v>
      </c>
    </row>
    <row r="18" spans="1:5" s="156" customFormat="1" ht="15">
      <c r="A18" s="177"/>
      <c r="B18" s="177">
        <v>85203</v>
      </c>
      <c r="C18" s="178"/>
      <c r="D18" s="179" t="s">
        <v>238</v>
      </c>
      <c r="E18" s="180">
        <f>SUM(E19)</f>
        <v>23000</v>
      </c>
    </row>
    <row r="19" spans="1:5" s="155" customFormat="1" ht="14.25">
      <c r="A19" s="181"/>
      <c r="B19" s="181"/>
      <c r="C19" s="182" t="s">
        <v>149</v>
      </c>
      <c r="D19" s="74" t="s">
        <v>150</v>
      </c>
      <c r="E19" s="184">
        <v>23000</v>
      </c>
    </row>
    <row r="20" spans="1:5" s="157" customFormat="1" ht="26.25">
      <c r="A20" s="185"/>
      <c r="B20" s="185"/>
      <c r="C20" s="186"/>
      <c r="D20" s="187" t="s">
        <v>236</v>
      </c>
      <c r="E20" s="188">
        <f>E6+E10+E14+E17</f>
        <v>500000</v>
      </c>
    </row>
  </sheetData>
  <sheetProtection/>
  <printOptions/>
  <pageMargins left="0.75" right="0.75" top="1" bottom="1" header="0.5" footer="0.5"/>
  <pageSetup firstPageNumber="76" useFirstPageNumber="1" horizontalDpi="600" verticalDpi="600" orientation="portrait" paperSize="9" r:id="rId1"/>
  <headerFooter alignWithMargins="0">
    <oddHeader>&amp;RZałącznik nr 17
do uchwały Zarządu Powiatu
nr 260/09
z dnia 9.11.2009 r.</oddHeader>
    <oddFooter>&amp;C&amp;P</oddFooter>
  </headerFooter>
</worksheet>
</file>

<file path=xl/worksheets/sheet18.xml><?xml version="1.0" encoding="utf-8"?>
<worksheet xmlns="http://schemas.openxmlformats.org/spreadsheetml/2006/main" xmlns:r="http://schemas.openxmlformats.org/officeDocument/2006/relationships">
  <dimension ref="A1:O85"/>
  <sheetViews>
    <sheetView showGridLines="0" zoomScalePageLayoutView="0" workbookViewId="0" topLeftCell="A1">
      <pane ySplit="5" topLeftCell="BM44" activePane="bottomLeft" state="frozen"/>
      <selection pane="topLeft" activeCell="A1" sqref="A1"/>
      <selection pane="bottomLeft" activeCell="B50" sqref="B50"/>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657" t="s">
        <v>691</v>
      </c>
      <c r="B1" s="657"/>
      <c r="C1" s="657"/>
      <c r="D1" s="657"/>
      <c r="E1" s="657"/>
      <c r="F1" s="657"/>
      <c r="G1" s="657"/>
      <c r="H1" s="657"/>
    </row>
    <row r="2" spans="1:14" ht="9" customHeight="1">
      <c r="A2" s="5"/>
      <c r="B2" s="5"/>
      <c r="C2" s="5"/>
      <c r="D2" s="5"/>
      <c r="E2" s="5"/>
      <c r="F2" s="5"/>
      <c r="G2" s="5"/>
      <c r="H2" s="5"/>
      <c r="I2" s="5"/>
      <c r="J2" s="5"/>
      <c r="K2" s="5"/>
      <c r="L2" s="5"/>
      <c r="M2" s="5"/>
      <c r="N2" s="5"/>
    </row>
    <row r="3" spans="8:14" ht="12.75">
      <c r="H3" s="51" t="s">
        <v>476</v>
      </c>
      <c r="I3" s="51"/>
      <c r="J3" s="51"/>
      <c r="K3" s="51"/>
      <c r="L3" s="51"/>
      <c r="M3" s="51"/>
      <c r="N3" s="51"/>
    </row>
    <row r="4" spans="1:8" s="40" customFormat="1" ht="35.25" customHeight="1">
      <c r="A4" s="597" t="s">
        <v>493</v>
      </c>
      <c r="B4" s="597" t="s">
        <v>435</v>
      </c>
      <c r="C4" s="658" t="s">
        <v>280</v>
      </c>
      <c r="D4" s="597" t="s">
        <v>585</v>
      </c>
      <c r="E4" s="369"/>
      <c r="F4" s="369"/>
      <c r="G4" s="369"/>
      <c r="H4" s="370"/>
    </row>
    <row r="5" spans="1:14" s="40" customFormat="1" ht="23.25" customHeight="1">
      <c r="A5" s="597"/>
      <c r="B5" s="597"/>
      <c r="C5" s="659"/>
      <c r="D5" s="597"/>
      <c r="E5" s="371">
        <v>2010</v>
      </c>
      <c r="F5" s="48">
        <v>2011</v>
      </c>
      <c r="G5" s="48">
        <v>2012</v>
      </c>
      <c r="H5" s="48">
        <v>2013</v>
      </c>
      <c r="I5" s="48">
        <v>2014</v>
      </c>
      <c r="J5" s="48">
        <v>2015</v>
      </c>
      <c r="K5" s="48">
        <v>2016</v>
      </c>
      <c r="L5" s="48">
        <v>2017</v>
      </c>
      <c r="M5" s="48">
        <v>2018</v>
      </c>
      <c r="N5" s="48">
        <v>2019</v>
      </c>
    </row>
    <row r="6" spans="1:14" s="47" customFormat="1" ht="8.25">
      <c r="A6" s="46">
        <v>1</v>
      </c>
      <c r="B6" s="46">
        <v>2</v>
      </c>
      <c r="C6" s="46">
        <v>3</v>
      </c>
      <c r="D6" s="46">
        <v>5</v>
      </c>
      <c r="E6" s="46">
        <v>6</v>
      </c>
      <c r="F6" s="46">
        <v>7</v>
      </c>
      <c r="G6" s="46">
        <v>8</v>
      </c>
      <c r="H6" s="46">
        <v>9</v>
      </c>
      <c r="I6" s="46">
        <v>9</v>
      </c>
      <c r="J6" s="46">
        <v>9</v>
      </c>
      <c r="K6" s="46">
        <v>9</v>
      </c>
      <c r="L6" s="46">
        <v>9</v>
      </c>
      <c r="M6" s="46">
        <v>9</v>
      </c>
      <c r="N6" s="46">
        <v>9</v>
      </c>
    </row>
    <row r="7" spans="1:14" s="40" customFormat="1" ht="22.5" customHeight="1">
      <c r="A7" s="38" t="s">
        <v>446</v>
      </c>
      <c r="B7" s="50" t="s">
        <v>604</v>
      </c>
      <c r="C7" s="238">
        <f aca="true" t="shared" si="0" ref="C7:M7">C8+C18+C22</f>
        <v>4101316</v>
      </c>
      <c r="D7" s="238">
        <f t="shared" si="0"/>
        <v>8466316</v>
      </c>
      <c r="E7" s="238">
        <f t="shared" si="0"/>
        <v>14863329</v>
      </c>
      <c r="F7" s="238">
        <f t="shared" si="0"/>
        <v>13888329</v>
      </c>
      <c r="G7" s="238">
        <f t="shared" si="0"/>
        <v>12913329</v>
      </c>
      <c r="H7" s="238">
        <f t="shared" si="0"/>
        <v>11388329</v>
      </c>
      <c r="I7" s="238">
        <f t="shared" si="0"/>
        <v>9388329</v>
      </c>
      <c r="J7" s="238">
        <f t="shared" si="0"/>
        <v>7388329</v>
      </c>
      <c r="K7" s="238">
        <f t="shared" si="0"/>
        <v>5388329</v>
      </c>
      <c r="L7" s="238">
        <f t="shared" si="0"/>
        <v>3088329</v>
      </c>
      <c r="M7" s="238">
        <f t="shared" si="0"/>
        <v>970000</v>
      </c>
      <c r="N7" s="238">
        <f>N8+N18+N22</f>
        <v>0</v>
      </c>
    </row>
    <row r="8" spans="1:14" s="39" customFormat="1" ht="15" customHeight="1">
      <c r="A8" s="41" t="s">
        <v>520</v>
      </c>
      <c r="B8" s="43" t="s">
        <v>625</v>
      </c>
      <c r="C8" s="125">
        <f aca="true" t="shared" si="1" ref="C8:H8">SUM(C9:C17)-C10</f>
        <v>4101316</v>
      </c>
      <c r="D8" s="125">
        <f t="shared" si="1"/>
        <v>8466316</v>
      </c>
      <c r="E8" s="125">
        <f t="shared" si="1"/>
        <v>7445000</v>
      </c>
      <c r="F8" s="125">
        <f t="shared" si="1"/>
        <v>6970000</v>
      </c>
      <c r="G8" s="125">
        <f t="shared" si="1"/>
        <v>6495000</v>
      </c>
      <c r="H8" s="125">
        <f t="shared" si="1"/>
        <v>5470000</v>
      </c>
      <c r="I8" s="125">
        <f aca="true" t="shared" si="2" ref="I8:N8">SUM(I9:I17)-I10</f>
        <v>3970000</v>
      </c>
      <c r="J8" s="125">
        <f t="shared" si="2"/>
        <v>2470000</v>
      </c>
      <c r="K8" s="125">
        <f t="shared" si="2"/>
        <v>970000</v>
      </c>
      <c r="L8" s="125">
        <f t="shared" si="2"/>
        <v>970000</v>
      </c>
      <c r="M8" s="125">
        <f t="shared" si="2"/>
        <v>970000</v>
      </c>
      <c r="N8" s="125">
        <f t="shared" si="2"/>
        <v>0</v>
      </c>
    </row>
    <row r="9" spans="1:14" s="39" customFormat="1" ht="15" customHeight="1">
      <c r="A9" s="45" t="s">
        <v>609</v>
      </c>
      <c r="B9" s="44" t="s">
        <v>536</v>
      </c>
      <c r="C9" s="115"/>
      <c r="D9" s="115"/>
      <c r="E9" s="115"/>
      <c r="F9" s="115"/>
      <c r="G9" s="115"/>
      <c r="H9" s="115"/>
      <c r="I9" s="115"/>
      <c r="J9" s="115"/>
      <c r="K9" s="115"/>
      <c r="L9" s="115"/>
      <c r="M9" s="115"/>
      <c r="N9" s="115"/>
    </row>
    <row r="10" spans="1:14" s="39" customFormat="1" ht="15" customHeight="1">
      <c r="A10" s="45" t="s">
        <v>610</v>
      </c>
      <c r="B10" s="44" t="s">
        <v>537</v>
      </c>
      <c r="C10" s="115">
        <f>SUM(C11:C15)</f>
        <v>4101316</v>
      </c>
      <c r="D10" s="115">
        <f aca="true" t="shared" si="3" ref="D10:M10">SUM(D11:D15)</f>
        <v>2996316</v>
      </c>
      <c r="E10" s="115">
        <f t="shared" si="3"/>
        <v>1975000</v>
      </c>
      <c r="F10" s="115">
        <f t="shared" si="3"/>
        <v>1500000</v>
      </c>
      <c r="G10" s="115">
        <f t="shared" si="3"/>
        <v>1025000</v>
      </c>
      <c r="H10" s="115">
        <f t="shared" si="3"/>
        <v>0</v>
      </c>
      <c r="I10" s="115">
        <f t="shared" si="3"/>
        <v>0</v>
      </c>
      <c r="J10" s="115">
        <f t="shared" si="3"/>
        <v>0</v>
      </c>
      <c r="K10" s="115">
        <f t="shared" si="3"/>
        <v>0</v>
      </c>
      <c r="L10" s="115">
        <f t="shared" si="3"/>
        <v>0</v>
      </c>
      <c r="M10" s="115">
        <f t="shared" si="3"/>
        <v>0</v>
      </c>
      <c r="N10" s="115">
        <f>SUM(N11:N15)</f>
        <v>0</v>
      </c>
    </row>
    <row r="11" spans="1:14" s="39" customFormat="1" ht="15" customHeight="1">
      <c r="A11" s="45">
        <v>2004</v>
      </c>
      <c r="B11" s="44" t="s">
        <v>365</v>
      </c>
      <c r="C11" s="118"/>
      <c r="D11" s="115"/>
      <c r="E11" s="115"/>
      <c r="F11" s="115"/>
      <c r="G11" s="115"/>
      <c r="H11" s="115"/>
      <c r="I11" s="115"/>
      <c r="J11" s="115"/>
      <c r="K11" s="115"/>
      <c r="L11" s="115"/>
      <c r="M11" s="115"/>
      <c r="N11" s="115"/>
    </row>
    <row r="12" spans="1:14" s="39" customFormat="1" ht="15" customHeight="1">
      <c r="A12" s="45">
        <v>2005</v>
      </c>
      <c r="B12" s="44" t="s">
        <v>416</v>
      </c>
      <c r="C12" s="118"/>
      <c r="D12" s="115"/>
      <c r="E12" s="115"/>
      <c r="F12" s="115"/>
      <c r="G12" s="115"/>
      <c r="H12" s="115"/>
      <c r="I12" s="115"/>
      <c r="J12" s="115"/>
      <c r="K12" s="115"/>
      <c r="L12" s="115"/>
      <c r="M12" s="115"/>
      <c r="N12" s="115"/>
    </row>
    <row r="13" spans="1:14" s="39" customFormat="1" ht="15" customHeight="1">
      <c r="A13" s="45">
        <v>2006</v>
      </c>
      <c r="B13" s="44" t="s">
        <v>199</v>
      </c>
      <c r="C13" s="117">
        <v>1921316</v>
      </c>
      <c r="D13" s="115">
        <v>921316</v>
      </c>
      <c r="E13" s="115"/>
      <c r="F13" s="115"/>
      <c r="G13" s="115"/>
      <c r="H13" s="115"/>
      <c r="I13" s="115"/>
      <c r="J13" s="115"/>
      <c r="K13" s="115"/>
      <c r="L13" s="115"/>
      <c r="M13" s="115"/>
      <c r="N13" s="115"/>
    </row>
    <row r="14" spans="1:14" s="39" customFormat="1" ht="15" customHeight="1">
      <c r="A14" s="45">
        <v>2007</v>
      </c>
      <c r="B14" s="44" t="s">
        <v>366</v>
      </c>
      <c r="C14" s="117">
        <v>950000</v>
      </c>
      <c r="D14" s="115">
        <v>900000</v>
      </c>
      <c r="E14" s="115">
        <v>850000</v>
      </c>
      <c r="F14" s="115">
        <v>425000</v>
      </c>
      <c r="G14" s="115"/>
      <c r="H14" s="115"/>
      <c r="I14" s="115"/>
      <c r="J14" s="115"/>
      <c r="K14" s="115"/>
      <c r="L14" s="115"/>
      <c r="M14" s="115"/>
      <c r="N14" s="115"/>
    </row>
    <row r="15" spans="1:14" s="39" customFormat="1" ht="15" customHeight="1">
      <c r="A15" s="45">
        <v>2008</v>
      </c>
      <c r="B15" s="44" t="s">
        <v>407</v>
      </c>
      <c r="C15" s="117">
        <v>1230000</v>
      </c>
      <c r="D15" s="115">
        <f>800000+375000</f>
        <v>1175000</v>
      </c>
      <c r="E15" s="115">
        <f>750000+375000</f>
        <v>1125000</v>
      </c>
      <c r="F15" s="115">
        <f>700000+375000</f>
        <v>1075000</v>
      </c>
      <c r="G15" s="115">
        <f>655000+375000-5000</f>
        <v>1025000</v>
      </c>
      <c r="H15" s="115"/>
      <c r="I15" s="115"/>
      <c r="J15" s="115"/>
      <c r="K15" s="115"/>
      <c r="L15" s="115"/>
      <c r="M15" s="115"/>
      <c r="N15" s="115"/>
    </row>
    <row r="16" spans="1:14" s="39" customFormat="1" ht="15" customHeight="1">
      <c r="A16" s="45"/>
      <c r="B16" s="44"/>
      <c r="C16" s="117"/>
      <c r="D16" s="115"/>
      <c r="E16" s="115"/>
      <c r="F16" s="115"/>
      <c r="G16" s="115"/>
      <c r="H16" s="115"/>
      <c r="I16" s="115"/>
      <c r="J16" s="115"/>
      <c r="K16" s="115"/>
      <c r="L16" s="115"/>
      <c r="M16" s="115"/>
      <c r="N16" s="115"/>
    </row>
    <row r="17" spans="1:14" s="39" customFormat="1" ht="15" customHeight="1">
      <c r="A17" s="45" t="s">
        <v>611</v>
      </c>
      <c r="B17" s="44" t="s">
        <v>689</v>
      </c>
      <c r="C17" s="115"/>
      <c r="D17" s="115">
        <v>5470000</v>
      </c>
      <c r="E17" s="115">
        <v>5470000</v>
      </c>
      <c r="F17" s="115">
        <v>5470000</v>
      </c>
      <c r="G17" s="115">
        <v>5470000</v>
      </c>
      <c r="H17" s="115">
        <v>5470000</v>
      </c>
      <c r="I17" s="115">
        <f>H17-I36</f>
        <v>3970000</v>
      </c>
      <c r="J17" s="115">
        <f>I17-J36</f>
        <v>2470000</v>
      </c>
      <c r="K17" s="115">
        <f>J17-K36</f>
        <v>970000</v>
      </c>
      <c r="L17" s="115">
        <f>970000</f>
        <v>970000</v>
      </c>
      <c r="M17" s="115">
        <f>970000</f>
        <v>970000</v>
      </c>
      <c r="N17" s="115"/>
    </row>
    <row r="18" spans="1:14" s="39" customFormat="1" ht="12.75">
      <c r="A18" s="41" t="s">
        <v>526</v>
      </c>
      <c r="B18" s="278" t="s">
        <v>690</v>
      </c>
      <c r="C18" s="115">
        <f aca="true" t="shared" si="4" ref="C18:M18">SUM(C19:C21)</f>
        <v>0</v>
      </c>
      <c r="D18" s="115">
        <f t="shared" si="4"/>
        <v>0</v>
      </c>
      <c r="E18" s="115">
        <f t="shared" si="4"/>
        <v>7418329</v>
      </c>
      <c r="F18" s="115">
        <f t="shared" si="4"/>
        <v>6918329</v>
      </c>
      <c r="G18" s="115">
        <f t="shared" si="4"/>
        <v>6418329</v>
      </c>
      <c r="H18" s="115">
        <f t="shared" si="4"/>
        <v>5918329</v>
      </c>
      <c r="I18" s="115">
        <f t="shared" si="4"/>
        <v>5418329</v>
      </c>
      <c r="J18" s="115">
        <f t="shared" si="4"/>
        <v>4918329</v>
      </c>
      <c r="K18" s="115">
        <f t="shared" si="4"/>
        <v>4418329</v>
      </c>
      <c r="L18" s="115">
        <f t="shared" si="4"/>
        <v>2118329</v>
      </c>
      <c r="M18" s="115">
        <f t="shared" si="4"/>
        <v>0</v>
      </c>
      <c r="N18" s="115">
        <f>SUM(N19:N21)</f>
        <v>0</v>
      </c>
    </row>
    <row r="19" spans="1:14" s="39" customFormat="1" ht="15" customHeight="1">
      <c r="A19" s="45" t="s">
        <v>612</v>
      </c>
      <c r="B19" s="44" t="s">
        <v>538</v>
      </c>
      <c r="C19" s="115"/>
      <c r="D19" s="115"/>
      <c r="E19" s="115"/>
      <c r="F19" s="115"/>
      <c r="G19" s="115"/>
      <c r="H19" s="115"/>
      <c r="I19" s="115"/>
      <c r="J19" s="115"/>
      <c r="K19" s="115"/>
      <c r="L19" s="115"/>
      <c r="M19" s="115"/>
      <c r="N19" s="115"/>
    </row>
    <row r="20" spans="1:14" s="39" customFormat="1" ht="15" customHeight="1">
      <c r="A20" s="45" t="s">
        <v>613</v>
      </c>
      <c r="B20" s="44" t="s">
        <v>539</v>
      </c>
      <c r="C20" s="115"/>
      <c r="D20" s="115"/>
      <c r="E20" s="115">
        <f>3818329</f>
        <v>3818329</v>
      </c>
      <c r="F20" s="115">
        <f>E20-500000</f>
        <v>3318329</v>
      </c>
      <c r="G20" s="115">
        <f aca="true" t="shared" si="5" ref="G20:L20">F20-500000</f>
        <v>2818329</v>
      </c>
      <c r="H20" s="115">
        <f t="shared" si="5"/>
        <v>2318329</v>
      </c>
      <c r="I20" s="115">
        <f t="shared" si="5"/>
        <v>1818329</v>
      </c>
      <c r="J20" s="115">
        <f t="shared" si="5"/>
        <v>1318329</v>
      </c>
      <c r="K20" s="115">
        <f t="shared" si="5"/>
        <v>818329</v>
      </c>
      <c r="L20" s="115">
        <f t="shared" si="5"/>
        <v>318329</v>
      </c>
      <c r="M20" s="115"/>
      <c r="N20" s="115"/>
    </row>
    <row r="21" spans="1:14" s="39" customFormat="1" ht="15" customHeight="1">
      <c r="A21" s="45" t="s">
        <v>614</v>
      </c>
      <c r="B21" s="44" t="s">
        <v>515</v>
      </c>
      <c r="C21" s="115"/>
      <c r="D21" s="115"/>
      <c r="E21" s="115">
        <v>3600000</v>
      </c>
      <c r="F21" s="115">
        <v>3600000</v>
      </c>
      <c r="G21" s="115">
        <v>3600000</v>
      </c>
      <c r="H21" s="115">
        <v>3600000</v>
      </c>
      <c r="I21" s="115">
        <v>3600000</v>
      </c>
      <c r="J21" s="115">
        <v>3600000</v>
      </c>
      <c r="K21" s="115">
        <v>3600000</v>
      </c>
      <c r="L21" s="115">
        <f>K21/2</f>
        <v>1800000</v>
      </c>
      <c r="M21" s="115"/>
      <c r="N21" s="115"/>
    </row>
    <row r="22" spans="1:14" s="39" customFormat="1" ht="15" customHeight="1">
      <c r="A22" s="41" t="s">
        <v>527</v>
      </c>
      <c r="B22" s="43" t="s">
        <v>540</v>
      </c>
      <c r="C22" s="119">
        <f aca="true" t="shared" si="6" ref="C22:L22">SUM(C23:C24)</f>
        <v>0</v>
      </c>
      <c r="D22" s="119">
        <f t="shared" si="6"/>
        <v>0</v>
      </c>
      <c r="E22" s="119">
        <f t="shared" si="6"/>
        <v>0</v>
      </c>
      <c r="F22" s="119">
        <f t="shared" si="6"/>
        <v>0</v>
      </c>
      <c r="G22" s="119">
        <f t="shared" si="6"/>
        <v>0</v>
      </c>
      <c r="H22" s="119">
        <f t="shared" si="6"/>
        <v>0</v>
      </c>
      <c r="I22" s="119">
        <f t="shared" si="6"/>
        <v>0</v>
      </c>
      <c r="J22" s="119">
        <f t="shared" si="6"/>
        <v>0</v>
      </c>
      <c r="K22" s="119">
        <f t="shared" si="6"/>
        <v>0</v>
      </c>
      <c r="L22" s="119">
        <f t="shared" si="6"/>
        <v>0</v>
      </c>
      <c r="M22" s="119">
        <f>SUM(M23:M24)</f>
        <v>0</v>
      </c>
      <c r="N22" s="119">
        <f>SUM(N23:N24)</f>
        <v>0</v>
      </c>
    </row>
    <row r="23" spans="1:14" s="39" customFormat="1" ht="15" customHeight="1">
      <c r="A23" s="45" t="s">
        <v>627</v>
      </c>
      <c r="B23" s="63" t="s">
        <v>629</v>
      </c>
      <c r="C23" s="120"/>
      <c r="D23" s="120"/>
      <c r="E23" s="120"/>
      <c r="F23" s="120"/>
      <c r="G23" s="120"/>
      <c r="H23" s="120"/>
      <c r="I23" s="120"/>
      <c r="J23" s="120"/>
      <c r="K23" s="120"/>
      <c r="L23" s="120"/>
      <c r="M23" s="120"/>
      <c r="N23" s="120"/>
    </row>
    <row r="24" spans="1:14" s="39" customFormat="1" ht="15" customHeight="1">
      <c r="A24" s="45" t="s">
        <v>628</v>
      </c>
      <c r="B24" s="63" t="s">
        <v>630</v>
      </c>
      <c r="C24" s="120"/>
      <c r="D24" s="120"/>
      <c r="E24" s="120"/>
      <c r="F24" s="120"/>
      <c r="G24" s="120"/>
      <c r="H24" s="120"/>
      <c r="I24" s="120"/>
      <c r="J24" s="120"/>
      <c r="K24" s="120"/>
      <c r="L24" s="120"/>
      <c r="M24" s="120"/>
      <c r="N24" s="120"/>
    </row>
    <row r="25" spans="1:14" s="40" customFormat="1" ht="22.5" customHeight="1">
      <c r="A25" s="364">
        <v>2</v>
      </c>
      <c r="B25" s="365" t="s">
        <v>241</v>
      </c>
      <c r="C25" s="363">
        <f>C27++C38+C40+C35</f>
        <v>2280842</v>
      </c>
      <c r="D25" s="363">
        <f aca="true" t="shared" si="7" ref="D25:N25">D27++D38+D40+D35</f>
        <v>1460000</v>
      </c>
      <c r="E25" s="363">
        <f t="shared" si="7"/>
        <v>1785716</v>
      </c>
      <c r="F25" s="363">
        <f t="shared" si="7"/>
        <v>2459800</v>
      </c>
      <c r="G25" s="363">
        <f t="shared" si="7"/>
        <v>2007400</v>
      </c>
      <c r="H25" s="363">
        <f t="shared" si="7"/>
        <v>2512400</v>
      </c>
      <c r="I25" s="363">
        <f t="shared" si="7"/>
        <v>2940400</v>
      </c>
      <c r="J25" s="363">
        <f t="shared" si="7"/>
        <v>2830400</v>
      </c>
      <c r="K25" s="363">
        <f t="shared" si="7"/>
        <v>2742400</v>
      </c>
      <c r="L25" s="363">
        <f t="shared" si="7"/>
        <v>2453000</v>
      </c>
      <c r="M25" s="363">
        <f t="shared" si="7"/>
        <v>2143594</v>
      </c>
      <c r="N25" s="363">
        <f t="shared" si="7"/>
        <v>1011000</v>
      </c>
    </row>
    <row r="26" spans="1:14" s="40" customFormat="1" ht="15" customHeight="1">
      <c r="A26" s="38" t="s">
        <v>529</v>
      </c>
      <c r="B26" s="50" t="s">
        <v>624</v>
      </c>
      <c r="C26" s="362">
        <f aca="true" t="shared" si="8" ref="C26:N26">C27+C35+C38</f>
        <v>2007842</v>
      </c>
      <c r="D26" s="362">
        <f t="shared" si="8"/>
        <v>1105000</v>
      </c>
      <c r="E26" s="362">
        <f t="shared" si="8"/>
        <v>1428716</v>
      </c>
      <c r="F26" s="362">
        <f t="shared" si="8"/>
        <v>1810800</v>
      </c>
      <c r="G26" s="362">
        <f t="shared" si="8"/>
        <v>1403400</v>
      </c>
      <c r="H26" s="362">
        <f t="shared" si="8"/>
        <v>1953400</v>
      </c>
      <c r="I26" s="362">
        <f t="shared" si="8"/>
        <v>2428400</v>
      </c>
      <c r="J26" s="362">
        <f t="shared" si="8"/>
        <v>2428400</v>
      </c>
      <c r="K26" s="362">
        <f t="shared" si="8"/>
        <v>2428400</v>
      </c>
      <c r="L26" s="362">
        <f t="shared" si="8"/>
        <v>2300000</v>
      </c>
      <c r="M26" s="362">
        <f t="shared" si="8"/>
        <v>2100094</v>
      </c>
      <c r="N26" s="362">
        <f t="shared" si="8"/>
        <v>970000</v>
      </c>
    </row>
    <row r="27" spans="1:14" s="39" customFormat="1" ht="15" customHeight="1">
      <c r="A27" s="45" t="s">
        <v>606</v>
      </c>
      <c r="B27" s="360" t="s">
        <v>617</v>
      </c>
      <c r="C27" s="361">
        <f>SUM(C28:C32)</f>
        <v>2007842</v>
      </c>
      <c r="D27" s="361">
        <f>SUM(D28:D34)</f>
        <v>1105000</v>
      </c>
      <c r="E27" s="361">
        <f aca="true" t="shared" si="9" ref="E27:N27">SUM(E28:E34)</f>
        <v>1021316</v>
      </c>
      <c r="F27" s="361">
        <f t="shared" si="9"/>
        <v>975000</v>
      </c>
      <c r="G27" s="361">
        <f t="shared" si="9"/>
        <v>975000</v>
      </c>
      <c r="H27" s="361">
        <f t="shared" si="9"/>
        <v>1525000</v>
      </c>
      <c r="I27" s="361">
        <f t="shared" si="9"/>
        <v>500000</v>
      </c>
      <c r="J27" s="361">
        <f t="shared" si="9"/>
        <v>500000</v>
      </c>
      <c r="K27" s="361">
        <f t="shared" si="9"/>
        <v>500000</v>
      </c>
      <c r="L27" s="361">
        <f t="shared" si="9"/>
        <v>500000</v>
      </c>
      <c r="M27" s="361">
        <f t="shared" si="9"/>
        <v>300094</v>
      </c>
      <c r="N27" s="361">
        <f t="shared" si="9"/>
        <v>0</v>
      </c>
    </row>
    <row r="28" spans="1:14" s="39" customFormat="1" ht="15" customHeight="1">
      <c r="A28" s="45"/>
      <c r="B28" s="114" t="s">
        <v>200</v>
      </c>
      <c r="C28" s="121"/>
      <c r="D28" s="115"/>
      <c r="E28" s="115"/>
      <c r="F28" s="115"/>
      <c r="G28" s="115"/>
      <c r="H28" s="115"/>
      <c r="I28" s="115"/>
      <c r="J28" s="115"/>
      <c r="K28" s="115"/>
      <c r="L28" s="115"/>
      <c r="M28" s="115"/>
      <c r="N28" s="115"/>
    </row>
    <row r="29" spans="1:14" s="39" customFormat="1" ht="15" customHeight="1">
      <c r="A29" s="45"/>
      <c r="B29" s="114" t="s">
        <v>201</v>
      </c>
      <c r="C29" s="121">
        <v>157842</v>
      </c>
      <c r="D29" s="113"/>
      <c r="E29" s="115"/>
      <c r="F29" s="115"/>
      <c r="G29" s="122"/>
      <c r="H29" s="115"/>
      <c r="I29" s="115"/>
      <c r="J29" s="115"/>
      <c r="K29" s="115"/>
      <c r="L29" s="115"/>
      <c r="M29" s="115"/>
      <c r="N29" s="115"/>
    </row>
    <row r="30" spans="1:14" s="39" customFormat="1" ht="15" customHeight="1">
      <c r="A30" s="45"/>
      <c r="B30" s="114" t="s">
        <v>202</v>
      </c>
      <c r="C30" s="121">
        <v>800000</v>
      </c>
      <c r="E30" s="115"/>
      <c r="F30" s="115"/>
      <c r="G30" s="122"/>
      <c r="H30" s="115"/>
      <c r="I30" s="115"/>
      <c r="J30" s="115"/>
      <c r="K30" s="115"/>
      <c r="L30" s="115"/>
      <c r="M30" s="115"/>
      <c r="N30" s="115"/>
    </row>
    <row r="31" spans="1:14" s="39" customFormat="1" ht="15" customHeight="1">
      <c r="A31" s="45"/>
      <c r="B31" s="114" t="s">
        <v>203</v>
      </c>
      <c r="C31" s="121">
        <v>1000000</v>
      </c>
      <c r="D31" s="123">
        <v>1000000</v>
      </c>
      <c r="E31" s="124">
        <v>921316</v>
      </c>
      <c r="F31" s="113"/>
      <c r="G31" s="115"/>
      <c r="H31" s="115"/>
      <c r="I31" s="115"/>
      <c r="J31" s="115"/>
      <c r="K31" s="115"/>
      <c r="L31" s="115"/>
      <c r="M31" s="115"/>
      <c r="N31" s="115"/>
    </row>
    <row r="32" spans="1:14" s="39" customFormat="1" ht="15" customHeight="1">
      <c r="A32" s="45"/>
      <c r="B32" s="114" t="s">
        <v>205</v>
      </c>
      <c r="C32" s="115">
        <v>50000</v>
      </c>
      <c r="D32" s="123">
        <v>50000</v>
      </c>
      <c r="E32" s="124">
        <v>50000</v>
      </c>
      <c r="F32" s="122">
        <v>425000</v>
      </c>
      <c r="G32" s="115">
        <v>425000</v>
      </c>
      <c r="H32" s="113"/>
      <c r="I32" s="113"/>
      <c r="J32" s="113"/>
      <c r="K32" s="113"/>
      <c r="L32" s="113"/>
      <c r="M32" s="113"/>
      <c r="N32" s="113"/>
    </row>
    <row r="33" spans="1:14" s="39" customFormat="1" ht="15" customHeight="1">
      <c r="A33" s="45"/>
      <c r="B33" s="114" t="s">
        <v>421</v>
      </c>
      <c r="C33" s="115"/>
      <c r="D33" s="123">
        <v>55000</v>
      </c>
      <c r="E33" s="124">
        <v>50000</v>
      </c>
      <c r="F33" s="122">
        <v>50000</v>
      </c>
      <c r="G33" s="115">
        <v>50000</v>
      </c>
      <c r="H33" s="245">
        <v>1025000</v>
      </c>
      <c r="I33" s="245"/>
      <c r="J33" s="245"/>
      <c r="K33" s="245"/>
      <c r="L33" s="245"/>
      <c r="M33" s="245"/>
      <c r="N33" s="245"/>
    </row>
    <row r="34" spans="1:15" s="39" customFormat="1" ht="15" customHeight="1">
      <c r="A34" s="45"/>
      <c r="B34" s="114" t="s">
        <v>692</v>
      </c>
      <c r="C34" s="115"/>
      <c r="D34" s="123"/>
      <c r="E34" s="124"/>
      <c r="F34" s="122">
        <v>500000</v>
      </c>
      <c r="G34" s="122">
        <v>500000</v>
      </c>
      <c r="H34" s="122">
        <v>500000</v>
      </c>
      <c r="I34" s="122">
        <v>500000</v>
      </c>
      <c r="J34" s="122">
        <v>500000</v>
      </c>
      <c r="K34" s="122">
        <v>500000</v>
      </c>
      <c r="L34" s="122">
        <v>500000</v>
      </c>
      <c r="M34" s="245">
        <v>300094</v>
      </c>
      <c r="N34" s="245"/>
      <c r="O34" s="321"/>
    </row>
    <row r="35" spans="1:14" s="39" customFormat="1" ht="15" customHeight="1">
      <c r="A35" s="359" t="s">
        <v>607</v>
      </c>
      <c r="B35" s="360" t="s">
        <v>619</v>
      </c>
      <c r="C35" s="361">
        <f>SUM(C36:C37)</f>
        <v>0</v>
      </c>
      <c r="D35" s="361">
        <f aca="true" t="shared" si="10" ref="D35:N35">SUM(D36:D37)</f>
        <v>0</v>
      </c>
      <c r="E35" s="361">
        <f t="shared" si="10"/>
        <v>0</v>
      </c>
      <c r="F35" s="361">
        <f t="shared" si="10"/>
        <v>0</v>
      </c>
      <c r="G35" s="361">
        <f t="shared" si="10"/>
        <v>0</v>
      </c>
      <c r="H35" s="361">
        <f t="shared" si="10"/>
        <v>0</v>
      </c>
      <c r="I35" s="361">
        <f t="shared" si="10"/>
        <v>1500000</v>
      </c>
      <c r="J35" s="361">
        <f t="shared" si="10"/>
        <v>1500000</v>
      </c>
      <c r="K35" s="361">
        <f t="shared" si="10"/>
        <v>1500000</v>
      </c>
      <c r="L35" s="361">
        <f t="shared" si="10"/>
        <v>1800000</v>
      </c>
      <c r="M35" s="361">
        <f t="shared" si="10"/>
        <v>1800000</v>
      </c>
      <c r="N35" s="361">
        <f t="shared" si="10"/>
        <v>970000</v>
      </c>
    </row>
    <row r="36" spans="1:14" s="39" customFormat="1" ht="15" customHeight="1">
      <c r="A36" s="45"/>
      <c r="B36" s="44" t="s">
        <v>281</v>
      </c>
      <c r="C36" s="115"/>
      <c r="D36" s="115"/>
      <c r="E36" s="115"/>
      <c r="F36" s="115"/>
      <c r="G36" s="115"/>
      <c r="H36" s="115"/>
      <c r="I36" s="115">
        <v>1500000</v>
      </c>
      <c r="J36" s="115">
        <v>1500000</v>
      </c>
      <c r="K36" s="115">
        <v>1500000</v>
      </c>
      <c r="L36" s="115"/>
      <c r="M36" s="115"/>
      <c r="N36" s="115">
        <v>970000</v>
      </c>
    </row>
    <row r="37" spans="1:14" s="39" customFormat="1" ht="15" customHeight="1">
      <c r="A37" s="45"/>
      <c r="B37" s="44" t="s">
        <v>687</v>
      </c>
      <c r="C37" s="115"/>
      <c r="D37" s="115"/>
      <c r="E37" s="115"/>
      <c r="F37" s="115"/>
      <c r="G37" s="115"/>
      <c r="H37" s="115"/>
      <c r="I37" s="115"/>
      <c r="J37" s="115"/>
      <c r="K37" s="115"/>
      <c r="L37" s="115">
        <v>1800000</v>
      </c>
      <c r="M37" s="115">
        <v>1800000</v>
      </c>
      <c r="N37" s="115"/>
    </row>
    <row r="38" spans="1:15" s="39" customFormat="1" ht="15" customHeight="1">
      <c r="A38" s="359" t="s">
        <v>608</v>
      </c>
      <c r="B38" s="360" t="s">
        <v>618</v>
      </c>
      <c r="C38" s="361"/>
      <c r="D38" s="361"/>
      <c r="E38" s="361">
        <f>407400</f>
        <v>407400</v>
      </c>
      <c r="F38" s="361">
        <f>428400+407400</f>
        <v>835800</v>
      </c>
      <c r="G38" s="361">
        <f>428400</f>
        <v>428400</v>
      </c>
      <c r="H38" s="361">
        <v>428400</v>
      </c>
      <c r="I38" s="361">
        <v>428400</v>
      </c>
      <c r="J38" s="361">
        <v>428400</v>
      </c>
      <c r="K38" s="361">
        <v>428400</v>
      </c>
      <c r="L38" s="361"/>
      <c r="M38" s="361"/>
      <c r="N38" s="361"/>
      <c r="O38" s="321">
        <f>SUM(D38:N38)</f>
        <v>3385200</v>
      </c>
    </row>
    <row r="39" spans="1:14" s="39" customFormat="1" ht="15" customHeight="1">
      <c r="A39" s="41" t="s">
        <v>530</v>
      </c>
      <c r="B39" s="43" t="s">
        <v>616</v>
      </c>
      <c r="C39" s="125">
        <v>0</v>
      </c>
      <c r="D39" s="125">
        <v>0</v>
      </c>
      <c r="E39" s="125">
        <v>0</v>
      </c>
      <c r="F39" s="125">
        <v>0</v>
      </c>
      <c r="G39" s="125"/>
      <c r="H39" s="125"/>
      <c r="I39" s="125"/>
      <c r="J39" s="125"/>
      <c r="K39" s="125"/>
      <c r="L39" s="125"/>
      <c r="M39" s="125"/>
      <c r="N39" s="125"/>
    </row>
    <row r="40" spans="1:15" s="62" customFormat="1" ht="14.25" customHeight="1">
      <c r="A40" s="354" t="s">
        <v>605</v>
      </c>
      <c r="B40" s="355" t="s">
        <v>615</v>
      </c>
      <c r="C40" s="356">
        <f>267000+6000</f>
        <v>273000</v>
      </c>
      <c r="D40" s="356">
        <v>355000</v>
      </c>
      <c r="E40" s="356">
        <v>357000</v>
      </c>
      <c r="F40" s="356">
        <f>83000+232000+190000+144000</f>
        <v>649000</v>
      </c>
      <c r="G40" s="356">
        <f>63000+232000+165000+144000</f>
        <v>604000</v>
      </c>
      <c r="H40" s="357">
        <f>43000+232000+140000+144000</f>
        <v>559000</v>
      </c>
      <c r="I40" s="357">
        <f>21000+232000+115000+144000</f>
        <v>512000</v>
      </c>
      <c r="J40" s="357">
        <f>168000+90000+144000</f>
        <v>402000</v>
      </c>
      <c r="K40" s="357">
        <f>105000+65000+144000</f>
        <v>314000</v>
      </c>
      <c r="L40" s="358">
        <f>41000+40000+72000</f>
        <v>153000</v>
      </c>
      <c r="M40" s="358">
        <f>7500+36000</f>
        <v>43500</v>
      </c>
      <c r="N40" s="358">
        <f>41000</f>
        <v>41000</v>
      </c>
      <c r="O40"/>
    </row>
    <row r="41" spans="1:14" s="40" customFormat="1" ht="22.5" customHeight="1">
      <c r="A41" s="38" t="s">
        <v>448</v>
      </c>
      <c r="B41" s="50" t="s">
        <v>541</v>
      </c>
      <c r="C41" s="279">
        <v>48993479</v>
      </c>
      <c r="D41" s="116">
        <v>61713288</v>
      </c>
      <c r="E41" s="116">
        <f>1!E163</f>
        <v>61306475</v>
      </c>
      <c r="F41" s="116">
        <f>ROUND(E41,-3)-6500000</f>
        <v>54806000</v>
      </c>
      <c r="G41" s="116">
        <f>ROUND(F41*101%,-3)</f>
        <v>55354000</v>
      </c>
      <c r="H41" s="116">
        <f>ROUND(G41*101%,-3)</f>
        <v>55908000</v>
      </c>
      <c r="I41" s="116">
        <f aca="true" t="shared" si="11" ref="I41:N41">ROUND(H41*101%,-3)</f>
        <v>56467000</v>
      </c>
      <c r="J41" s="116">
        <f t="shared" si="11"/>
        <v>57032000</v>
      </c>
      <c r="K41" s="116">
        <f t="shared" si="11"/>
        <v>57602000</v>
      </c>
      <c r="L41" s="116">
        <f t="shared" si="11"/>
        <v>58178000</v>
      </c>
      <c r="M41" s="116">
        <f t="shared" si="11"/>
        <v>58760000</v>
      </c>
      <c r="N41" s="116">
        <f t="shared" si="11"/>
        <v>59348000</v>
      </c>
    </row>
    <row r="42" spans="1:14" s="58" customFormat="1" ht="22.5" customHeight="1">
      <c r="A42" s="38" t="s">
        <v>436</v>
      </c>
      <c r="B42" s="50" t="s">
        <v>558</v>
      </c>
      <c r="C42" s="116">
        <v>50261239</v>
      </c>
      <c r="D42" s="116">
        <v>67562083</v>
      </c>
      <c r="E42" s="116">
        <f>2!E708</f>
        <v>70812104</v>
      </c>
      <c r="F42" s="116">
        <f>ROUND(E42-3a!G37,-3)</f>
        <v>53128000</v>
      </c>
      <c r="G42" s="116">
        <f>ROUND(F42*101%,-3)</f>
        <v>53659000</v>
      </c>
      <c r="H42" s="116">
        <f aca="true" t="shared" si="12" ref="H42:N42">ROUND(G42*101%,-3)</f>
        <v>54196000</v>
      </c>
      <c r="I42" s="116">
        <f t="shared" si="12"/>
        <v>54738000</v>
      </c>
      <c r="J42" s="116">
        <f t="shared" si="12"/>
        <v>55285000</v>
      </c>
      <c r="K42" s="116">
        <f t="shared" si="12"/>
        <v>55838000</v>
      </c>
      <c r="L42" s="116">
        <f t="shared" si="12"/>
        <v>56396000</v>
      </c>
      <c r="M42" s="116">
        <f t="shared" si="12"/>
        <v>56960000</v>
      </c>
      <c r="N42" s="116">
        <f t="shared" si="12"/>
        <v>57530000</v>
      </c>
    </row>
    <row r="43" spans="1:14" s="58" customFormat="1" ht="22.5" customHeight="1">
      <c r="A43" s="38" t="s">
        <v>453</v>
      </c>
      <c r="B43" s="50" t="s">
        <v>559</v>
      </c>
      <c r="C43" s="116">
        <f>C41-C42</f>
        <v>-1267760</v>
      </c>
      <c r="D43" s="116">
        <f aca="true" t="shared" si="13" ref="D43:I43">D41-D42</f>
        <v>-5848795</v>
      </c>
      <c r="E43" s="116">
        <f t="shared" si="13"/>
        <v>-9505629</v>
      </c>
      <c r="F43" s="116">
        <f t="shared" si="13"/>
        <v>1678000</v>
      </c>
      <c r="G43" s="116">
        <f t="shared" si="13"/>
        <v>1695000</v>
      </c>
      <c r="H43" s="116">
        <f t="shared" si="13"/>
        <v>1712000</v>
      </c>
      <c r="I43" s="116">
        <f t="shared" si="13"/>
        <v>1729000</v>
      </c>
      <c r="J43" s="116">
        <f>J41-J42</f>
        <v>1747000</v>
      </c>
      <c r="K43" s="116">
        <f>K41-K42</f>
        <v>1764000</v>
      </c>
      <c r="L43" s="116">
        <f>L41-L42</f>
        <v>1782000</v>
      </c>
      <c r="M43" s="116">
        <f>M41-M42</f>
        <v>1800000</v>
      </c>
      <c r="N43" s="116">
        <f>N41-N42</f>
        <v>1818000</v>
      </c>
    </row>
    <row r="44" spans="1:14" s="40" customFormat="1" ht="22.5" customHeight="1">
      <c r="A44" s="38" t="s">
        <v>456</v>
      </c>
      <c r="B44" s="50" t="s">
        <v>542</v>
      </c>
      <c r="C44" s="116"/>
      <c r="D44" s="116"/>
      <c r="E44" s="116"/>
      <c r="F44" s="116"/>
      <c r="G44" s="116"/>
      <c r="H44" s="116"/>
      <c r="I44" s="116"/>
      <c r="J44" s="116"/>
      <c r="K44" s="116"/>
      <c r="L44" s="116"/>
      <c r="M44" s="116"/>
      <c r="N44" s="116"/>
    </row>
    <row r="45" spans="1:14" s="39" customFormat="1" ht="15" customHeight="1">
      <c r="A45" s="41" t="s">
        <v>620</v>
      </c>
      <c r="B45" s="42" t="s">
        <v>243</v>
      </c>
      <c r="C45" s="126">
        <f aca="true" t="shared" si="14" ref="C45:N45">(C7-C22)/C41</f>
        <v>0.08371146698931096</v>
      </c>
      <c r="D45" s="126">
        <f t="shared" si="14"/>
        <v>0.13718789379687565</v>
      </c>
      <c r="E45" s="126">
        <f t="shared" si="14"/>
        <v>0.24244305352738027</v>
      </c>
      <c r="F45" s="126">
        <f t="shared" si="14"/>
        <v>0.25340891508229024</v>
      </c>
      <c r="G45" s="126">
        <f t="shared" si="14"/>
        <v>0.23328628464067638</v>
      </c>
      <c r="H45" s="126">
        <f t="shared" si="14"/>
        <v>0.20369766401946054</v>
      </c>
      <c r="I45" s="126">
        <f t="shared" si="14"/>
        <v>0.16626222395381374</v>
      </c>
      <c r="J45" s="126">
        <f t="shared" si="14"/>
        <v>0.1295470788329359</v>
      </c>
      <c r="K45" s="126">
        <f t="shared" si="14"/>
        <v>0.09354413041213847</v>
      </c>
      <c r="L45" s="126">
        <f t="shared" si="14"/>
        <v>0.05308413833407817</v>
      </c>
      <c r="M45" s="126">
        <f t="shared" si="14"/>
        <v>0.01650782845473111</v>
      </c>
      <c r="N45" s="126">
        <f t="shared" si="14"/>
        <v>0</v>
      </c>
    </row>
    <row r="46" spans="1:14" s="39" customFormat="1" ht="28.5" customHeight="1">
      <c r="A46" s="41" t="s">
        <v>621</v>
      </c>
      <c r="B46" s="42" t="s">
        <v>242</v>
      </c>
      <c r="C46" s="126">
        <f aca="true" t="shared" si="15" ref="C46:N46">(C8+C18)/C41</f>
        <v>0.08371146698931096</v>
      </c>
      <c r="D46" s="126">
        <f t="shared" si="15"/>
        <v>0.13718789379687565</v>
      </c>
      <c r="E46" s="126">
        <f t="shared" si="15"/>
        <v>0.24244305352738027</v>
      </c>
      <c r="F46" s="126">
        <f t="shared" si="15"/>
        <v>0.25340891508229024</v>
      </c>
      <c r="G46" s="126">
        <f t="shared" si="15"/>
        <v>0.23328628464067638</v>
      </c>
      <c r="H46" s="126">
        <f t="shared" si="15"/>
        <v>0.20369766401946054</v>
      </c>
      <c r="I46" s="126">
        <f t="shared" si="15"/>
        <v>0.16626222395381374</v>
      </c>
      <c r="J46" s="126">
        <f t="shared" si="15"/>
        <v>0.1295470788329359</v>
      </c>
      <c r="K46" s="126">
        <f t="shared" si="15"/>
        <v>0.09354413041213847</v>
      </c>
      <c r="L46" s="126">
        <f t="shared" si="15"/>
        <v>0.05308413833407817</v>
      </c>
      <c r="M46" s="126">
        <f t="shared" si="15"/>
        <v>0.01650782845473111</v>
      </c>
      <c r="N46" s="126">
        <f t="shared" si="15"/>
        <v>0</v>
      </c>
    </row>
    <row r="47" spans="1:14" s="39" customFormat="1" ht="15" customHeight="1">
      <c r="A47" s="41" t="s">
        <v>622</v>
      </c>
      <c r="B47" s="42" t="s">
        <v>631</v>
      </c>
      <c r="C47" s="126">
        <f aca="true" t="shared" si="16" ref="C47:N47">C25/C41</f>
        <v>0.04655399139954931</v>
      </c>
      <c r="D47" s="126">
        <f t="shared" si="16"/>
        <v>0.023657789875010386</v>
      </c>
      <c r="E47" s="126">
        <f t="shared" si="16"/>
        <v>0.029127690019692048</v>
      </c>
      <c r="F47" s="126">
        <f t="shared" si="16"/>
        <v>0.04488194723205489</v>
      </c>
      <c r="G47" s="126">
        <f t="shared" si="16"/>
        <v>0.03626476858040972</v>
      </c>
      <c r="H47" s="126">
        <f t="shared" si="16"/>
        <v>0.04493811261357945</v>
      </c>
      <c r="I47" s="126">
        <f t="shared" si="16"/>
        <v>0.05207289213168753</v>
      </c>
      <c r="J47" s="126">
        <f t="shared" si="16"/>
        <v>0.04962827886099032</v>
      </c>
      <c r="K47" s="126">
        <f t="shared" si="16"/>
        <v>0.04760945800493038</v>
      </c>
      <c r="L47" s="126">
        <f t="shared" si="16"/>
        <v>0.04216370449310736</v>
      </c>
      <c r="M47" s="126">
        <f t="shared" si="16"/>
        <v>0.03648049693669163</v>
      </c>
      <c r="N47" s="126">
        <f t="shared" si="16"/>
        <v>0.01703511491541417</v>
      </c>
    </row>
    <row r="48" spans="1:14" s="39" customFormat="1" ht="25.5" customHeight="1">
      <c r="A48" s="41" t="s">
        <v>623</v>
      </c>
      <c r="B48" s="42" t="s">
        <v>632</v>
      </c>
      <c r="C48" s="126">
        <f>(C26+C40)/C41</f>
        <v>0.04655399139954931</v>
      </c>
      <c r="D48" s="126">
        <f>(D26+D40)/D41</f>
        <v>0.023657789875010386</v>
      </c>
      <c r="E48" s="126">
        <f aca="true" t="shared" si="17" ref="E48:N48">(E26+D40)/E41</f>
        <v>0.029095067038188056</v>
      </c>
      <c r="F48" s="126">
        <f t="shared" si="17"/>
        <v>0.03955406342371273</v>
      </c>
      <c r="G48" s="126">
        <f t="shared" si="17"/>
        <v>0.03707771796076164</v>
      </c>
      <c r="H48" s="126">
        <f t="shared" si="17"/>
        <v>0.04574300636760392</v>
      </c>
      <c r="I48" s="126">
        <f t="shared" si="17"/>
        <v>0.05290523668691448</v>
      </c>
      <c r="J48" s="126">
        <f t="shared" si="17"/>
        <v>0.05155702062000281</v>
      </c>
      <c r="K48" s="126">
        <f t="shared" si="17"/>
        <v>0.049137182736710534</v>
      </c>
      <c r="L48" s="126">
        <f t="shared" si="17"/>
        <v>0.04493107360170511</v>
      </c>
      <c r="M48" s="126">
        <f t="shared" si="17"/>
        <v>0.03834400953029272</v>
      </c>
      <c r="N48" s="126">
        <f t="shared" si="17"/>
        <v>0.01707723933409719</v>
      </c>
    </row>
    <row r="52" ht="12.75">
      <c r="E52" s="71"/>
    </row>
    <row r="53" ht="0.75" customHeight="1"/>
    <row r="54" ht="12.75" hidden="1"/>
    <row r="55" ht="12.75" hidden="1">
      <c r="B55" t="s">
        <v>584</v>
      </c>
    </row>
    <row r="56" spans="2:4" ht="12.75" hidden="1">
      <c r="B56" s="366">
        <f>E25/E41</f>
        <v>0.029127690019692048</v>
      </c>
      <c r="D56">
        <f>((53739683-51702078)/60599508+(51187002-45980373)/52650999+(50726705-46220614)/51231463)/3</f>
        <v>0.07348970689105355</v>
      </c>
    </row>
    <row r="57" ht="13.5" hidden="1" thickBot="1"/>
    <row r="58" spans="2:3" ht="48" customHeight="1" hidden="1" thickBot="1">
      <c r="B58" s="367" t="s">
        <v>688</v>
      </c>
      <c r="C58" s="368">
        <v>3817000</v>
      </c>
    </row>
    <row r="59" ht="12.75" hidden="1"/>
    <row r="60" ht="12.75" hidden="1"/>
    <row r="61" ht="12.75" hidden="1"/>
    <row r="62" ht="12.75" hidden="1">
      <c r="B62" t="s">
        <v>693</v>
      </c>
    </row>
    <row r="63" ht="12.75" hidden="1">
      <c r="B63">
        <v>190000</v>
      </c>
    </row>
    <row r="64" ht="12.75" hidden="1">
      <c r="B64">
        <v>165000</v>
      </c>
    </row>
    <row r="65" ht="12.75" hidden="1">
      <c r="B65">
        <v>140000</v>
      </c>
    </row>
    <row r="66" ht="12.75" hidden="1">
      <c r="B66">
        <v>115000</v>
      </c>
    </row>
    <row r="67" ht="12.75" hidden="1">
      <c r="B67">
        <v>90000</v>
      </c>
    </row>
    <row r="68" ht="12.75" hidden="1">
      <c r="B68">
        <v>65000</v>
      </c>
    </row>
    <row r="69" ht="12.75" hidden="1">
      <c r="B69">
        <v>40000</v>
      </c>
    </row>
    <row r="70" ht="12.75" hidden="1">
      <c r="B70">
        <v>7500</v>
      </c>
    </row>
    <row r="71" ht="12.75" hidden="1">
      <c r="B71">
        <f>SUM(B63:B70)</f>
        <v>812500</v>
      </c>
    </row>
    <row r="72" ht="12.75" hidden="1"/>
    <row r="73" ht="12.75" hidden="1">
      <c r="B73" t="s">
        <v>695</v>
      </c>
    </row>
    <row r="74" ht="12.75" hidden="1"/>
    <row r="75" ht="12.75" hidden="1"/>
    <row r="76" ht="12.75" hidden="1"/>
    <row r="77" ht="12.75" hidden="1">
      <c r="B77">
        <v>144000</v>
      </c>
    </row>
    <row r="78" ht="12.75" hidden="1">
      <c r="B78">
        <v>144000</v>
      </c>
    </row>
    <row r="79" ht="12.75" hidden="1">
      <c r="B79">
        <v>144000</v>
      </c>
    </row>
    <row r="80" ht="12.75" hidden="1">
      <c r="B80">
        <v>144000</v>
      </c>
    </row>
    <row r="81" ht="12.75" hidden="1">
      <c r="B81">
        <v>144000</v>
      </c>
    </row>
    <row r="82" ht="12.75" hidden="1">
      <c r="B82">
        <v>144000</v>
      </c>
    </row>
    <row r="83" ht="12.75" hidden="1">
      <c r="B83">
        <v>72000</v>
      </c>
    </row>
    <row r="84" ht="12.75" hidden="1">
      <c r="B84">
        <v>36000</v>
      </c>
    </row>
    <row r="85" ht="12.75" hidden="1">
      <c r="B85">
        <f>SUM(B76:B84)</f>
        <v>972000</v>
      </c>
    </row>
    <row r="86" ht="12.75" hidden="1"/>
  </sheetData>
  <sheetProtection/>
  <mergeCells count="5">
    <mergeCell ref="A1:H1"/>
    <mergeCell ref="A4:A5"/>
    <mergeCell ref="B4:B5"/>
    <mergeCell ref="C4:C5"/>
    <mergeCell ref="D4:D5"/>
  </mergeCells>
  <printOptions horizontalCentered="1" verticalCentered="1"/>
  <pageMargins left="0.5905511811023623" right="0.5905511811023623" top="0.9055118110236221" bottom="0.5511811023622047" header="0.5118110236220472" footer="0.31496062992125984"/>
  <pageSetup firstPageNumber="75" useFirstPageNumber="1" horizontalDpi="600" verticalDpi="600" orientation="landscape" paperSize="9" scale="60" r:id="rId1"/>
  <headerFooter alignWithMargins="0">
    <oddHeader>&amp;R&amp;9Załącznik nr 16
do uchwały Zarządu Powiatu 
nr 260/09
z dnia 9.11.2009 r.</oddHeader>
    <oddFooter>&amp;C&amp;P</oddFooter>
  </headerFooter>
</worksheet>
</file>

<file path=xl/worksheets/sheet2.xml><?xml version="1.0" encoding="utf-8"?>
<worksheet xmlns="http://schemas.openxmlformats.org/spreadsheetml/2006/main" xmlns:r="http://schemas.openxmlformats.org/officeDocument/2006/relationships">
  <dimension ref="A1:P715"/>
  <sheetViews>
    <sheetView zoomScale="75" zoomScaleNormal="75" zoomScalePageLayoutView="0" workbookViewId="0" topLeftCell="A1">
      <pane ySplit="6" topLeftCell="BM7" activePane="bottomLeft" state="frozen"/>
      <selection pane="topLeft" activeCell="A1" sqref="A1"/>
      <selection pane="bottomLeft" activeCell="G14" sqref="G14"/>
    </sheetView>
  </sheetViews>
  <sheetFormatPr defaultColWidth="9.00390625" defaultRowHeight="12.75"/>
  <cols>
    <col min="1" max="1" width="6.00390625" style="346" customWidth="1"/>
    <col min="2" max="2" width="7.875" style="346" customWidth="1"/>
    <col min="3" max="3" width="6.00390625" style="346" customWidth="1"/>
    <col min="4" max="4" width="24.875" style="346" customWidth="1"/>
    <col min="5" max="5" width="13.125" style="339" customWidth="1"/>
    <col min="6" max="6" width="14.00390625" style="339" customWidth="1"/>
    <col min="7" max="7" width="11.375" style="339" customWidth="1"/>
    <col min="8" max="8" width="13.00390625" style="339" customWidth="1"/>
    <col min="9" max="9" width="12.875" style="339" customWidth="1"/>
    <col min="10" max="10" width="11.625" style="339" customWidth="1"/>
    <col min="11" max="11" width="11.875" style="339" customWidth="1"/>
    <col min="12" max="12" width="18.125" style="339" customWidth="1"/>
    <col min="13" max="13" width="13.625" style="339" customWidth="1"/>
    <col min="14" max="14" width="15.375" style="339" customWidth="1"/>
    <col min="15" max="15" width="9.125" style="267" customWidth="1"/>
    <col min="16" max="16" width="10.75390625" style="267" bestFit="1" customWidth="1"/>
    <col min="17" max="17" width="9.125" style="267" customWidth="1"/>
    <col min="18" max="18" width="11.00390625" style="267" bestFit="1" customWidth="1"/>
    <col min="19" max="16384" width="9.125" style="267" customWidth="1"/>
  </cols>
  <sheetData>
    <row r="1" spans="1:14" ht="39" customHeight="1">
      <c r="A1" s="599" t="s">
        <v>697</v>
      </c>
      <c r="B1" s="599"/>
      <c r="C1" s="599"/>
      <c r="D1" s="599"/>
      <c r="E1" s="599"/>
      <c r="F1" s="599"/>
      <c r="G1" s="599"/>
      <c r="H1" s="599"/>
      <c r="I1" s="599"/>
      <c r="J1" s="599"/>
      <c r="K1" s="599"/>
      <c r="L1" s="599"/>
      <c r="M1" s="599"/>
      <c r="N1" s="599"/>
    </row>
    <row r="2" spans="1:8" ht="15">
      <c r="A2" s="6"/>
      <c r="B2" s="6"/>
      <c r="C2" s="6"/>
      <c r="D2" s="6"/>
      <c r="E2" s="338"/>
      <c r="F2" s="338"/>
      <c r="G2" s="338"/>
      <c r="H2" s="338"/>
    </row>
    <row r="3" spans="1:14" ht="15">
      <c r="A3" s="6"/>
      <c r="B3" s="6"/>
      <c r="C3" s="6"/>
      <c r="D3" s="6"/>
      <c r="E3" s="338"/>
      <c r="F3" s="338"/>
      <c r="N3" s="340" t="s">
        <v>491</v>
      </c>
    </row>
    <row r="4" spans="1:14" s="341" customFormat="1" ht="15">
      <c r="A4" s="597" t="s">
        <v>437</v>
      </c>
      <c r="B4" s="597" t="s">
        <v>438</v>
      </c>
      <c r="C4" s="597" t="s">
        <v>439</v>
      </c>
      <c r="D4" s="597" t="s">
        <v>452</v>
      </c>
      <c r="E4" s="596" t="s">
        <v>694</v>
      </c>
      <c r="F4" s="596" t="s">
        <v>510</v>
      </c>
      <c r="G4" s="596"/>
      <c r="H4" s="596"/>
      <c r="I4" s="596"/>
      <c r="J4" s="596"/>
      <c r="K4" s="596"/>
      <c r="L4" s="596"/>
      <c r="M4" s="596"/>
      <c r="N4" s="596"/>
    </row>
    <row r="5" spans="1:14" s="341" customFormat="1" ht="15">
      <c r="A5" s="597"/>
      <c r="B5" s="597"/>
      <c r="C5" s="597"/>
      <c r="D5" s="597"/>
      <c r="E5" s="596"/>
      <c r="F5" s="596" t="s">
        <v>472</v>
      </c>
      <c r="G5" s="596" t="s">
        <v>441</v>
      </c>
      <c r="H5" s="596"/>
      <c r="I5" s="596"/>
      <c r="J5" s="596"/>
      <c r="K5" s="596"/>
      <c r="L5" s="596"/>
      <c r="M5" s="596"/>
      <c r="N5" s="596" t="s">
        <v>474</v>
      </c>
    </row>
    <row r="6" spans="1:14" s="341" customFormat="1" ht="89.25">
      <c r="A6" s="597"/>
      <c r="B6" s="597"/>
      <c r="C6" s="597"/>
      <c r="D6" s="597"/>
      <c r="E6" s="596"/>
      <c r="F6" s="596"/>
      <c r="G6" s="503" t="s">
        <v>534</v>
      </c>
      <c r="H6" s="503" t="s">
        <v>122</v>
      </c>
      <c r="I6" s="503" t="s">
        <v>635</v>
      </c>
      <c r="J6" s="503" t="s">
        <v>532</v>
      </c>
      <c r="K6" s="503" t="s">
        <v>562</v>
      </c>
      <c r="L6" s="503" t="s">
        <v>664</v>
      </c>
      <c r="M6" s="503" t="s">
        <v>121</v>
      </c>
      <c r="N6" s="596"/>
    </row>
    <row r="7" spans="1:14" s="341" customFormat="1" ht="15">
      <c r="A7" s="504">
        <v>1</v>
      </c>
      <c r="B7" s="504">
        <v>2</v>
      </c>
      <c r="C7" s="504">
        <v>3</v>
      </c>
      <c r="D7" s="504">
        <v>4</v>
      </c>
      <c r="E7" s="505">
        <v>5</v>
      </c>
      <c r="F7" s="505">
        <v>6</v>
      </c>
      <c r="G7" s="505">
        <v>7</v>
      </c>
      <c r="H7" s="505">
        <v>8</v>
      </c>
      <c r="I7" s="505">
        <v>9</v>
      </c>
      <c r="J7" s="505">
        <v>10</v>
      </c>
      <c r="K7" s="505">
        <v>11</v>
      </c>
      <c r="L7" s="505">
        <v>12</v>
      </c>
      <c r="M7" s="505">
        <v>13</v>
      </c>
      <c r="N7" s="505">
        <v>14</v>
      </c>
    </row>
    <row r="8" spans="1:14" s="342" customFormat="1" ht="25.5">
      <c r="A8" s="435" t="s">
        <v>637</v>
      </c>
      <c r="B8" s="435"/>
      <c r="C8" s="436"/>
      <c r="D8" s="506" t="s">
        <v>638</v>
      </c>
      <c r="E8" s="507">
        <f>F8+N8</f>
        <v>25000</v>
      </c>
      <c r="F8" s="508">
        <f aca="true" t="shared" si="0" ref="F8:F16">SUM(G8:M8)</f>
        <v>25000</v>
      </c>
      <c r="G8" s="508">
        <f>SUM(G9)</f>
        <v>0</v>
      </c>
      <c r="H8" s="508">
        <f aca="true" t="shared" si="1" ref="H8:M8">SUM(H9:H9)</f>
        <v>0</v>
      </c>
      <c r="I8" s="508">
        <f t="shared" si="1"/>
        <v>0</v>
      </c>
      <c r="J8" s="508">
        <f t="shared" si="1"/>
        <v>0</v>
      </c>
      <c r="K8" s="508">
        <f t="shared" si="1"/>
        <v>0</v>
      </c>
      <c r="L8" s="508">
        <f t="shared" si="1"/>
        <v>0</v>
      </c>
      <c r="M8" s="508">
        <f t="shared" si="1"/>
        <v>25000</v>
      </c>
      <c r="N8" s="508">
        <v>0</v>
      </c>
    </row>
    <row r="9" spans="1:14" s="343" customFormat="1" ht="38.25">
      <c r="A9" s="442"/>
      <c r="B9" s="442" t="s">
        <v>639</v>
      </c>
      <c r="C9" s="443"/>
      <c r="D9" s="509" t="s">
        <v>640</v>
      </c>
      <c r="E9" s="507">
        <f aca="true" t="shared" si="2" ref="E9:E74">F9+N9</f>
        <v>25000</v>
      </c>
      <c r="F9" s="510">
        <f t="shared" si="0"/>
        <v>25000</v>
      </c>
      <c r="G9" s="510">
        <f>SUM(G10:G11)</f>
        <v>0</v>
      </c>
      <c r="H9" s="510">
        <f aca="true" t="shared" si="3" ref="H9:N9">SUM(H10:H11)</f>
        <v>0</v>
      </c>
      <c r="I9" s="510">
        <f t="shared" si="3"/>
        <v>0</v>
      </c>
      <c r="J9" s="510">
        <f t="shared" si="3"/>
        <v>0</v>
      </c>
      <c r="K9" s="510">
        <f t="shared" si="3"/>
        <v>0</v>
      </c>
      <c r="L9" s="510">
        <f t="shared" si="3"/>
        <v>0</v>
      </c>
      <c r="M9" s="510">
        <f t="shared" si="3"/>
        <v>25000</v>
      </c>
      <c r="N9" s="510">
        <f t="shared" si="3"/>
        <v>0</v>
      </c>
    </row>
    <row r="10" spans="1:14" s="341" customFormat="1" ht="15">
      <c r="A10" s="452"/>
      <c r="B10" s="452"/>
      <c r="C10" s="453">
        <v>4300</v>
      </c>
      <c r="D10" s="511" t="s">
        <v>641</v>
      </c>
      <c r="E10" s="507">
        <f t="shared" si="2"/>
        <v>25000</v>
      </c>
      <c r="F10" s="512">
        <f t="shared" si="0"/>
        <v>25000</v>
      </c>
      <c r="G10" s="512"/>
      <c r="H10" s="512"/>
      <c r="I10" s="512"/>
      <c r="J10" s="512"/>
      <c r="K10" s="512"/>
      <c r="L10" s="512"/>
      <c r="M10" s="512">
        <v>25000</v>
      </c>
      <c r="N10" s="512"/>
    </row>
    <row r="11" spans="1:14" s="341" customFormat="1" ht="38.25" hidden="1">
      <c r="A11" s="452"/>
      <c r="B11" s="452"/>
      <c r="C11" s="453">
        <v>4390</v>
      </c>
      <c r="D11" s="511" t="s">
        <v>207</v>
      </c>
      <c r="E11" s="507">
        <f t="shared" si="2"/>
        <v>0</v>
      </c>
      <c r="F11" s="512">
        <f>SUM(G11:M11)</f>
        <v>0</v>
      </c>
      <c r="G11" s="512"/>
      <c r="H11" s="512"/>
      <c r="I11" s="512"/>
      <c r="J11" s="512"/>
      <c r="K11" s="512"/>
      <c r="L11" s="512"/>
      <c r="M11" s="512"/>
      <c r="N11" s="512"/>
    </row>
    <row r="12" spans="1:14" s="342" customFormat="1" ht="15.75">
      <c r="A12" s="435" t="s">
        <v>642</v>
      </c>
      <c r="B12" s="435"/>
      <c r="C12" s="436"/>
      <c r="D12" s="506" t="s">
        <v>643</v>
      </c>
      <c r="E12" s="507">
        <f t="shared" si="2"/>
        <v>334680</v>
      </c>
      <c r="F12" s="508">
        <f t="shared" si="0"/>
        <v>334680</v>
      </c>
      <c r="G12" s="508">
        <f>SUM(G13+G15)</f>
        <v>0</v>
      </c>
      <c r="H12" s="508">
        <f aca="true" t="shared" si="4" ref="H12:N12">H13+H15</f>
        <v>0</v>
      </c>
      <c r="I12" s="508">
        <f t="shared" si="4"/>
        <v>0</v>
      </c>
      <c r="J12" s="508">
        <f t="shared" si="4"/>
        <v>49680</v>
      </c>
      <c r="K12" s="508">
        <f t="shared" si="4"/>
        <v>0</v>
      </c>
      <c r="L12" s="508">
        <f t="shared" si="4"/>
        <v>0</v>
      </c>
      <c r="M12" s="508">
        <f t="shared" si="4"/>
        <v>285000</v>
      </c>
      <c r="N12" s="508">
        <f t="shared" si="4"/>
        <v>0</v>
      </c>
    </row>
    <row r="13" spans="1:14" s="343" customFormat="1" ht="15.75">
      <c r="A13" s="442"/>
      <c r="B13" s="442" t="s">
        <v>644</v>
      </c>
      <c r="C13" s="443"/>
      <c r="D13" s="509" t="s">
        <v>645</v>
      </c>
      <c r="E13" s="507">
        <f t="shared" si="2"/>
        <v>285000</v>
      </c>
      <c r="F13" s="510">
        <f t="shared" si="0"/>
        <v>285000</v>
      </c>
      <c r="G13" s="510">
        <f aca="true" t="shared" si="5" ref="G13:N13">SUM(G14)</f>
        <v>0</v>
      </c>
      <c r="H13" s="510">
        <f t="shared" si="5"/>
        <v>0</v>
      </c>
      <c r="I13" s="510">
        <f t="shared" si="5"/>
        <v>0</v>
      </c>
      <c r="J13" s="510">
        <f t="shared" si="5"/>
        <v>0</v>
      </c>
      <c r="K13" s="510">
        <f t="shared" si="5"/>
        <v>0</v>
      </c>
      <c r="L13" s="510">
        <f t="shared" si="5"/>
        <v>0</v>
      </c>
      <c r="M13" s="510">
        <f t="shared" si="5"/>
        <v>285000</v>
      </c>
      <c r="N13" s="510">
        <f t="shared" si="5"/>
        <v>0</v>
      </c>
    </row>
    <row r="14" spans="1:14" s="341" customFormat="1" ht="25.5">
      <c r="A14" s="513"/>
      <c r="B14" s="513"/>
      <c r="C14" s="514">
        <v>3030</v>
      </c>
      <c r="D14" s="515" t="s">
        <v>646</v>
      </c>
      <c r="E14" s="507">
        <f t="shared" si="2"/>
        <v>285000</v>
      </c>
      <c r="F14" s="512">
        <f t="shared" si="0"/>
        <v>285000</v>
      </c>
      <c r="G14" s="512"/>
      <c r="H14" s="512"/>
      <c r="I14" s="512"/>
      <c r="J14" s="512"/>
      <c r="K14" s="512"/>
      <c r="L14" s="512"/>
      <c r="M14" s="512">
        <v>285000</v>
      </c>
      <c r="N14" s="512"/>
    </row>
    <row r="15" spans="1:14" s="343" customFormat="1" ht="25.5">
      <c r="A15" s="442"/>
      <c r="B15" s="442" t="s">
        <v>647</v>
      </c>
      <c r="C15" s="443"/>
      <c r="D15" s="444" t="s">
        <v>648</v>
      </c>
      <c r="E15" s="507">
        <f t="shared" si="2"/>
        <v>49680</v>
      </c>
      <c r="F15" s="510">
        <f t="shared" si="0"/>
        <v>49680</v>
      </c>
      <c r="G15" s="510"/>
      <c r="H15" s="510">
        <f aca="true" t="shared" si="6" ref="H15:N15">SUM(H16)</f>
        <v>0</v>
      </c>
      <c r="I15" s="510">
        <f t="shared" si="6"/>
        <v>0</v>
      </c>
      <c r="J15" s="510">
        <f t="shared" si="6"/>
        <v>49680</v>
      </c>
      <c r="K15" s="510">
        <f t="shared" si="6"/>
        <v>0</v>
      </c>
      <c r="L15" s="510">
        <f t="shared" si="6"/>
        <v>0</v>
      </c>
      <c r="M15" s="510">
        <f t="shared" si="6"/>
        <v>0</v>
      </c>
      <c r="N15" s="510">
        <f t="shared" si="6"/>
        <v>0</v>
      </c>
    </row>
    <row r="16" spans="1:14" s="341" customFormat="1" ht="96" customHeight="1">
      <c r="A16" s="452"/>
      <c r="B16" s="452"/>
      <c r="C16" s="453">
        <v>2830</v>
      </c>
      <c r="D16" s="511" t="s">
        <v>649</v>
      </c>
      <c r="E16" s="507">
        <f t="shared" si="2"/>
        <v>49680</v>
      </c>
      <c r="F16" s="512">
        <f t="shared" si="0"/>
        <v>49680</v>
      </c>
      <c r="G16" s="512"/>
      <c r="H16" s="512"/>
      <c r="I16" s="512"/>
      <c r="J16" s="512">
        <v>49680</v>
      </c>
      <c r="K16" s="512"/>
      <c r="L16" s="512"/>
      <c r="M16" s="512"/>
      <c r="N16" s="512"/>
    </row>
    <row r="17" spans="1:14" s="342" customFormat="1" ht="15.75">
      <c r="A17" s="435">
        <v>600</v>
      </c>
      <c r="B17" s="435"/>
      <c r="C17" s="436"/>
      <c r="D17" s="437" t="s">
        <v>650</v>
      </c>
      <c r="E17" s="507">
        <f t="shared" si="2"/>
        <v>15420039</v>
      </c>
      <c r="F17" s="508">
        <f>SUM(G17:M17)</f>
        <v>2856400</v>
      </c>
      <c r="G17" s="508">
        <f>SUM(G18)</f>
        <v>684000</v>
      </c>
      <c r="H17" s="508">
        <f aca="true" t="shared" si="7" ref="H17:N17">SUM(H18)</f>
        <v>54100</v>
      </c>
      <c r="I17" s="508">
        <f t="shared" si="7"/>
        <v>135200</v>
      </c>
      <c r="J17" s="508">
        <f t="shared" si="7"/>
        <v>0</v>
      </c>
      <c r="K17" s="508">
        <f t="shared" si="7"/>
        <v>0</v>
      </c>
      <c r="L17" s="508">
        <f t="shared" si="7"/>
        <v>0</v>
      </c>
      <c r="M17" s="508">
        <f t="shared" si="7"/>
        <v>1983100</v>
      </c>
      <c r="N17" s="508">
        <f t="shared" si="7"/>
        <v>12563639</v>
      </c>
    </row>
    <row r="18" spans="1:14" s="343" customFormat="1" ht="25.5">
      <c r="A18" s="442"/>
      <c r="B18" s="442">
        <v>60014</v>
      </c>
      <c r="C18" s="443"/>
      <c r="D18" s="444" t="s">
        <v>651</v>
      </c>
      <c r="E18" s="507">
        <f t="shared" si="2"/>
        <v>15420039</v>
      </c>
      <c r="F18" s="510">
        <f>SUM(F19:F41)</f>
        <v>2856400</v>
      </c>
      <c r="G18" s="510">
        <f>SUM(G19:G44)</f>
        <v>684000</v>
      </c>
      <c r="H18" s="510">
        <f aca="true" t="shared" si="8" ref="H18:N18">SUM(H19:H44)</f>
        <v>54100</v>
      </c>
      <c r="I18" s="510">
        <f t="shared" si="8"/>
        <v>135200</v>
      </c>
      <c r="J18" s="510">
        <f t="shared" si="8"/>
        <v>0</v>
      </c>
      <c r="K18" s="510">
        <f t="shared" si="8"/>
        <v>0</v>
      </c>
      <c r="L18" s="510">
        <f t="shared" si="8"/>
        <v>0</v>
      </c>
      <c r="M18" s="510">
        <f t="shared" si="8"/>
        <v>1983100</v>
      </c>
      <c r="N18" s="510">
        <f t="shared" si="8"/>
        <v>12563639</v>
      </c>
    </row>
    <row r="19" spans="1:14" s="341" customFormat="1" ht="25.5">
      <c r="A19" s="435"/>
      <c r="B19" s="435"/>
      <c r="C19" s="453">
        <v>3020</v>
      </c>
      <c r="D19" s="511" t="s">
        <v>652</v>
      </c>
      <c r="E19" s="507">
        <f t="shared" si="2"/>
        <v>17000</v>
      </c>
      <c r="F19" s="512">
        <f aca="true" t="shared" si="9" ref="F19:F52">SUM(G19:M19)</f>
        <v>17000</v>
      </c>
      <c r="G19" s="512"/>
      <c r="H19" s="512"/>
      <c r="I19" s="512"/>
      <c r="J19" s="512"/>
      <c r="K19" s="512"/>
      <c r="L19" s="512"/>
      <c r="M19" s="512">
        <v>17000</v>
      </c>
      <c r="N19" s="512"/>
    </row>
    <row r="20" spans="1:14" s="341" customFormat="1" ht="25.5">
      <c r="A20" s="435"/>
      <c r="B20" s="435"/>
      <c r="C20" s="516">
        <v>4010</v>
      </c>
      <c r="D20" s="511" t="s">
        <v>653</v>
      </c>
      <c r="E20" s="507">
        <f t="shared" si="2"/>
        <v>684000</v>
      </c>
      <c r="F20" s="512">
        <f t="shared" si="9"/>
        <v>684000</v>
      </c>
      <c r="G20" s="512">
        <v>684000</v>
      </c>
      <c r="H20" s="512"/>
      <c r="I20" s="512"/>
      <c r="J20" s="512"/>
      <c r="K20" s="512"/>
      <c r="L20" s="512"/>
      <c r="M20" s="512"/>
      <c r="N20" s="512"/>
    </row>
    <row r="21" spans="1:14" s="341" customFormat="1" ht="25.5">
      <c r="A21" s="435"/>
      <c r="B21" s="435"/>
      <c r="C21" s="453">
        <v>4040</v>
      </c>
      <c r="D21" s="511" t="s">
        <v>654</v>
      </c>
      <c r="E21" s="507">
        <f t="shared" si="2"/>
        <v>54100</v>
      </c>
      <c r="F21" s="512">
        <f t="shared" si="9"/>
        <v>54100</v>
      </c>
      <c r="G21" s="512"/>
      <c r="H21" s="512">
        <v>54100</v>
      </c>
      <c r="I21" s="512"/>
      <c r="J21" s="512"/>
      <c r="K21" s="512"/>
      <c r="L21" s="512"/>
      <c r="M21" s="512"/>
      <c r="N21" s="512"/>
    </row>
    <row r="22" spans="1:14" s="341" customFormat="1" ht="25.5">
      <c r="A22" s="435"/>
      <c r="B22" s="435"/>
      <c r="C22" s="453">
        <v>4110</v>
      </c>
      <c r="D22" s="511" t="s">
        <v>655</v>
      </c>
      <c r="E22" s="507">
        <f t="shared" si="2"/>
        <v>117100</v>
      </c>
      <c r="F22" s="512">
        <f t="shared" si="9"/>
        <v>117100</v>
      </c>
      <c r="G22" s="512"/>
      <c r="H22" s="512"/>
      <c r="I22" s="512">
        <v>117100</v>
      </c>
      <c r="J22" s="512"/>
      <c r="K22" s="512"/>
      <c r="L22" s="512"/>
      <c r="M22" s="512"/>
      <c r="N22" s="512"/>
    </row>
    <row r="23" spans="1:14" s="341" customFormat="1" ht="15">
      <c r="A23" s="435"/>
      <c r="B23" s="435"/>
      <c r="C23" s="453">
        <v>4120</v>
      </c>
      <c r="D23" s="511" t="s">
        <v>656</v>
      </c>
      <c r="E23" s="507">
        <f t="shared" si="2"/>
        <v>18100</v>
      </c>
      <c r="F23" s="512">
        <f t="shared" si="9"/>
        <v>18100</v>
      </c>
      <c r="G23" s="512"/>
      <c r="H23" s="512"/>
      <c r="I23" s="512">
        <v>18100</v>
      </c>
      <c r="J23" s="512"/>
      <c r="K23" s="512"/>
      <c r="L23" s="512"/>
      <c r="M23" s="512"/>
      <c r="N23" s="512"/>
    </row>
    <row r="24" spans="1:14" s="341" customFormat="1" ht="30.75" customHeight="1">
      <c r="A24" s="435"/>
      <c r="B24" s="435"/>
      <c r="C24" s="453">
        <v>4170</v>
      </c>
      <c r="D24" s="511" t="s">
        <v>657</v>
      </c>
      <c r="E24" s="507">
        <f t="shared" si="2"/>
        <v>5000</v>
      </c>
      <c r="F24" s="512">
        <f t="shared" si="9"/>
        <v>5000</v>
      </c>
      <c r="G24" s="512"/>
      <c r="H24" s="512"/>
      <c r="I24" s="512"/>
      <c r="J24" s="512"/>
      <c r="K24" s="512"/>
      <c r="L24" s="512"/>
      <c r="M24" s="512">
        <v>5000</v>
      </c>
      <c r="N24" s="512"/>
    </row>
    <row r="25" spans="1:14" s="341" customFormat="1" ht="25.5">
      <c r="A25" s="435"/>
      <c r="B25" s="435"/>
      <c r="C25" s="453">
        <v>4210</v>
      </c>
      <c r="D25" s="511" t="s">
        <v>658</v>
      </c>
      <c r="E25" s="507">
        <f t="shared" si="2"/>
        <v>186000</v>
      </c>
      <c r="F25" s="512">
        <f t="shared" si="9"/>
        <v>186000</v>
      </c>
      <c r="G25" s="512"/>
      <c r="H25" s="512"/>
      <c r="I25" s="512"/>
      <c r="J25" s="512"/>
      <c r="K25" s="512"/>
      <c r="L25" s="512"/>
      <c r="M25" s="512">
        <v>186000</v>
      </c>
      <c r="N25" s="512"/>
    </row>
    <row r="26" spans="1:14" s="341" customFormat="1" ht="15">
      <c r="A26" s="435"/>
      <c r="B26" s="435"/>
      <c r="C26" s="453">
        <v>4260</v>
      </c>
      <c r="D26" s="511" t="s">
        <v>659</v>
      </c>
      <c r="E26" s="507">
        <f t="shared" si="2"/>
        <v>21600</v>
      </c>
      <c r="F26" s="512">
        <f t="shared" si="9"/>
        <v>21600</v>
      </c>
      <c r="G26" s="512"/>
      <c r="H26" s="512"/>
      <c r="I26" s="512"/>
      <c r="J26" s="512"/>
      <c r="K26" s="512"/>
      <c r="L26" s="512"/>
      <c r="M26" s="512">
        <v>21600</v>
      </c>
      <c r="N26" s="512"/>
    </row>
    <row r="27" spans="1:14" s="341" customFormat="1" ht="15">
      <c r="A27" s="435"/>
      <c r="B27" s="435"/>
      <c r="C27" s="453">
        <v>4270</v>
      </c>
      <c r="D27" s="511" t="s">
        <v>660</v>
      </c>
      <c r="E27" s="507">
        <f t="shared" si="2"/>
        <v>550000</v>
      </c>
      <c r="F27" s="512">
        <f t="shared" si="9"/>
        <v>550000</v>
      </c>
      <c r="G27" s="512"/>
      <c r="H27" s="512"/>
      <c r="I27" s="512"/>
      <c r="J27" s="512"/>
      <c r="K27" s="512"/>
      <c r="L27" s="512"/>
      <c r="M27" s="512">
        <v>550000</v>
      </c>
      <c r="N27" s="512"/>
    </row>
    <row r="28" spans="1:14" s="341" customFormat="1" ht="15">
      <c r="A28" s="435"/>
      <c r="B28" s="435"/>
      <c r="C28" s="453">
        <v>4280</v>
      </c>
      <c r="D28" s="511" t="s">
        <v>661</v>
      </c>
      <c r="E28" s="507">
        <f t="shared" si="2"/>
        <v>900</v>
      </c>
      <c r="F28" s="512">
        <f t="shared" si="9"/>
        <v>900</v>
      </c>
      <c r="G28" s="512"/>
      <c r="H28" s="512"/>
      <c r="I28" s="512"/>
      <c r="J28" s="512"/>
      <c r="K28" s="512"/>
      <c r="L28" s="512"/>
      <c r="M28" s="512">
        <v>900</v>
      </c>
      <c r="N28" s="512"/>
    </row>
    <row r="29" spans="1:14" s="341" customFormat="1" ht="15">
      <c r="A29" s="435"/>
      <c r="B29" s="435"/>
      <c r="C29" s="453">
        <v>4300</v>
      </c>
      <c r="D29" s="511" t="s">
        <v>641</v>
      </c>
      <c r="E29" s="507">
        <f t="shared" si="2"/>
        <v>1125000</v>
      </c>
      <c r="F29" s="512">
        <f t="shared" si="9"/>
        <v>1125000</v>
      </c>
      <c r="G29" s="512"/>
      <c r="H29" s="512"/>
      <c r="I29" s="512"/>
      <c r="J29" s="512"/>
      <c r="K29" s="512"/>
      <c r="L29" s="512"/>
      <c r="M29" s="512">
        <v>1125000</v>
      </c>
      <c r="N29" s="512"/>
    </row>
    <row r="30" spans="1:14" s="341" customFormat="1" ht="25.5">
      <c r="A30" s="435"/>
      <c r="B30" s="435"/>
      <c r="C30" s="453">
        <v>4350</v>
      </c>
      <c r="D30" s="511" t="s">
        <v>662</v>
      </c>
      <c r="E30" s="507">
        <f t="shared" si="2"/>
        <v>1500</v>
      </c>
      <c r="F30" s="512">
        <f t="shared" si="9"/>
        <v>1500</v>
      </c>
      <c r="G30" s="512"/>
      <c r="H30" s="512"/>
      <c r="I30" s="512"/>
      <c r="J30" s="512"/>
      <c r="K30" s="512"/>
      <c r="L30" s="512"/>
      <c r="M30" s="512">
        <v>1500</v>
      </c>
      <c r="N30" s="512"/>
    </row>
    <row r="31" spans="1:14" s="341" customFormat="1" ht="34.5" customHeight="1">
      <c r="A31" s="435"/>
      <c r="B31" s="435"/>
      <c r="C31" s="453">
        <v>4360</v>
      </c>
      <c r="D31" s="511" t="s">
        <v>214</v>
      </c>
      <c r="E31" s="507">
        <f t="shared" si="2"/>
        <v>6600</v>
      </c>
      <c r="F31" s="512">
        <f t="shared" si="9"/>
        <v>6600</v>
      </c>
      <c r="G31" s="512"/>
      <c r="H31" s="512"/>
      <c r="I31" s="512"/>
      <c r="J31" s="512"/>
      <c r="K31" s="512"/>
      <c r="L31" s="512"/>
      <c r="M31" s="512">
        <v>6600</v>
      </c>
      <c r="N31" s="512"/>
    </row>
    <row r="32" spans="1:14" s="341" customFormat="1" ht="34.5" customHeight="1">
      <c r="A32" s="435"/>
      <c r="B32" s="435"/>
      <c r="C32" s="453">
        <v>4370</v>
      </c>
      <c r="D32" s="511" t="s">
        <v>215</v>
      </c>
      <c r="E32" s="507">
        <f t="shared" si="2"/>
        <v>6300</v>
      </c>
      <c r="F32" s="512">
        <f t="shared" si="9"/>
        <v>6300</v>
      </c>
      <c r="G32" s="512"/>
      <c r="H32" s="512"/>
      <c r="I32" s="512"/>
      <c r="J32" s="512"/>
      <c r="K32" s="512"/>
      <c r="L32" s="512"/>
      <c r="M32" s="512">
        <v>6300</v>
      </c>
      <c r="N32" s="512"/>
    </row>
    <row r="33" spans="1:14" s="341" customFormat="1" ht="38.25" hidden="1">
      <c r="A33" s="435"/>
      <c r="B33" s="435"/>
      <c r="C33" s="453">
        <v>4390</v>
      </c>
      <c r="D33" s="511" t="s">
        <v>207</v>
      </c>
      <c r="E33" s="507">
        <f t="shared" si="2"/>
        <v>0</v>
      </c>
      <c r="F33" s="512">
        <f t="shared" si="9"/>
        <v>0</v>
      </c>
      <c r="G33" s="512"/>
      <c r="H33" s="512"/>
      <c r="I33" s="512"/>
      <c r="J33" s="512"/>
      <c r="K33" s="512"/>
      <c r="L33" s="512"/>
      <c r="M33" s="512"/>
      <c r="N33" s="512"/>
    </row>
    <row r="34" spans="1:14" s="341" customFormat="1" ht="15">
      <c r="A34" s="435"/>
      <c r="B34" s="435"/>
      <c r="C34" s="453">
        <v>4410</v>
      </c>
      <c r="D34" s="511" t="s">
        <v>667</v>
      </c>
      <c r="E34" s="507">
        <f t="shared" si="2"/>
        <v>3700</v>
      </c>
      <c r="F34" s="512">
        <f t="shared" si="9"/>
        <v>3700</v>
      </c>
      <c r="G34" s="512"/>
      <c r="H34" s="512"/>
      <c r="I34" s="512"/>
      <c r="J34" s="512"/>
      <c r="K34" s="512"/>
      <c r="L34" s="512"/>
      <c r="M34" s="512">
        <v>3700</v>
      </c>
      <c r="N34" s="512"/>
    </row>
    <row r="35" spans="1:14" s="341" customFormat="1" ht="15">
      <c r="A35" s="435"/>
      <c r="B35" s="435"/>
      <c r="C35" s="453">
        <v>4430</v>
      </c>
      <c r="D35" s="511" t="s">
        <v>668</v>
      </c>
      <c r="E35" s="507">
        <f t="shared" si="2"/>
        <v>16000</v>
      </c>
      <c r="F35" s="512">
        <f t="shared" si="9"/>
        <v>16000</v>
      </c>
      <c r="G35" s="512"/>
      <c r="H35" s="512"/>
      <c r="I35" s="512"/>
      <c r="J35" s="512"/>
      <c r="K35" s="512"/>
      <c r="L35" s="512"/>
      <c r="M35" s="512">
        <v>16000</v>
      </c>
      <c r="N35" s="512"/>
    </row>
    <row r="36" spans="1:14" s="341" customFormat="1" ht="38.25">
      <c r="A36" s="435"/>
      <c r="B36" s="435"/>
      <c r="C36" s="453">
        <v>4440</v>
      </c>
      <c r="D36" s="511" t="s">
        <v>669</v>
      </c>
      <c r="E36" s="507">
        <f t="shared" si="2"/>
        <v>25000</v>
      </c>
      <c r="F36" s="512">
        <f t="shared" si="9"/>
        <v>25000</v>
      </c>
      <c r="G36" s="512"/>
      <c r="H36" s="512"/>
      <c r="I36" s="512"/>
      <c r="J36" s="512"/>
      <c r="K36" s="512"/>
      <c r="L36" s="512"/>
      <c r="M36" s="512">
        <v>25000</v>
      </c>
      <c r="N36" s="512"/>
    </row>
    <row r="37" spans="1:14" s="341" customFormat="1" ht="15">
      <c r="A37" s="435"/>
      <c r="B37" s="435"/>
      <c r="C37" s="453">
        <v>4480</v>
      </c>
      <c r="D37" s="511" t="s">
        <v>670</v>
      </c>
      <c r="E37" s="507">
        <f t="shared" si="2"/>
        <v>7500</v>
      </c>
      <c r="F37" s="512">
        <f t="shared" si="9"/>
        <v>7500</v>
      </c>
      <c r="G37" s="512"/>
      <c r="H37" s="512"/>
      <c r="I37" s="512"/>
      <c r="J37" s="512"/>
      <c r="K37" s="512"/>
      <c r="L37" s="512"/>
      <c r="M37" s="512">
        <v>7500</v>
      </c>
      <c r="N37" s="512"/>
    </row>
    <row r="38" spans="1:14" s="341" customFormat="1" ht="38.25">
      <c r="A38" s="435"/>
      <c r="B38" s="435"/>
      <c r="C38" s="453">
        <v>4700</v>
      </c>
      <c r="D38" s="511" t="s">
        <v>210</v>
      </c>
      <c r="E38" s="507">
        <f t="shared" si="2"/>
        <v>5000</v>
      </c>
      <c r="F38" s="512">
        <f t="shared" si="9"/>
        <v>5000</v>
      </c>
      <c r="G38" s="512"/>
      <c r="H38" s="512"/>
      <c r="I38" s="512"/>
      <c r="J38" s="512"/>
      <c r="K38" s="512"/>
      <c r="L38" s="512"/>
      <c r="M38" s="512">
        <v>5000</v>
      </c>
      <c r="N38" s="512"/>
    </row>
    <row r="39" spans="1:14" s="341" customFormat="1" ht="25.5">
      <c r="A39" s="435"/>
      <c r="B39" s="435"/>
      <c r="C39" s="453">
        <v>4740</v>
      </c>
      <c r="D39" s="511" t="s">
        <v>671</v>
      </c>
      <c r="E39" s="507">
        <f t="shared" si="2"/>
        <v>1000</v>
      </c>
      <c r="F39" s="512">
        <f t="shared" si="9"/>
        <v>1000</v>
      </c>
      <c r="G39" s="512"/>
      <c r="H39" s="512"/>
      <c r="I39" s="512"/>
      <c r="J39" s="512"/>
      <c r="K39" s="512"/>
      <c r="L39" s="512"/>
      <c r="M39" s="512">
        <v>1000</v>
      </c>
      <c r="N39" s="512"/>
    </row>
    <row r="40" spans="1:14" s="341" customFormat="1" ht="25.5">
      <c r="A40" s="435"/>
      <c r="B40" s="435"/>
      <c r="C40" s="453">
        <v>4750</v>
      </c>
      <c r="D40" s="511" t="s">
        <v>672</v>
      </c>
      <c r="E40" s="507">
        <f t="shared" si="2"/>
        <v>5000</v>
      </c>
      <c r="F40" s="512">
        <f t="shared" si="9"/>
        <v>5000</v>
      </c>
      <c r="G40" s="512"/>
      <c r="H40" s="512"/>
      <c r="I40" s="512"/>
      <c r="J40" s="512"/>
      <c r="K40" s="512"/>
      <c r="L40" s="512"/>
      <c r="M40" s="512">
        <v>5000</v>
      </c>
      <c r="N40" s="512"/>
    </row>
    <row r="41" spans="1:14" s="341" customFormat="1" ht="25.5">
      <c r="A41" s="435"/>
      <c r="B41" s="435"/>
      <c r="C41" s="516">
        <v>6050</v>
      </c>
      <c r="D41" s="517" t="s">
        <v>673</v>
      </c>
      <c r="E41" s="507">
        <f t="shared" si="2"/>
        <v>9116400</v>
      </c>
      <c r="F41" s="512">
        <f t="shared" si="9"/>
        <v>0</v>
      </c>
      <c r="G41" s="512"/>
      <c r="H41" s="512"/>
      <c r="I41" s="512"/>
      <c r="J41" s="512"/>
      <c r="K41" s="512"/>
      <c r="L41" s="512"/>
      <c r="M41" s="512"/>
      <c r="N41" s="512">
        <v>9116400</v>
      </c>
    </row>
    <row r="42" spans="1:14" s="341" customFormat="1" ht="25.5">
      <c r="A42" s="435"/>
      <c r="B42" s="435"/>
      <c r="C42" s="516">
        <v>6058</v>
      </c>
      <c r="D42" s="517" t="s">
        <v>673</v>
      </c>
      <c r="E42" s="507">
        <f t="shared" si="2"/>
        <v>0</v>
      </c>
      <c r="F42" s="512">
        <f t="shared" si="9"/>
        <v>0</v>
      </c>
      <c r="G42" s="512"/>
      <c r="H42" s="512"/>
      <c r="I42" s="512"/>
      <c r="J42" s="512"/>
      <c r="K42" s="512"/>
      <c r="L42" s="512"/>
      <c r="M42" s="512"/>
      <c r="N42" s="512"/>
    </row>
    <row r="43" spans="1:14" s="341" customFormat="1" ht="25.5">
      <c r="A43" s="435"/>
      <c r="B43" s="435"/>
      <c r="C43" s="516">
        <v>6059</v>
      </c>
      <c r="D43" s="517" t="s">
        <v>673</v>
      </c>
      <c r="E43" s="507">
        <f t="shared" si="2"/>
        <v>3447239</v>
      </c>
      <c r="F43" s="512">
        <f t="shared" si="9"/>
        <v>0</v>
      </c>
      <c r="G43" s="512"/>
      <c r="H43" s="512"/>
      <c r="I43" s="512"/>
      <c r="J43" s="512"/>
      <c r="K43" s="512"/>
      <c r="L43" s="512"/>
      <c r="M43" s="512"/>
      <c r="N43" s="512">
        <v>3447239</v>
      </c>
    </row>
    <row r="44" spans="1:14" s="341" customFormat="1" ht="38.25">
      <c r="A44" s="435"/>
      <c r="B44" s="435"/>
      <c r="C44" s="516">
        <v>6060</v>
      </c>
      <c r="D44" s="517" t="s">
        <v>375</v>
      </c>
      <c r="E44" s="507">
        <f t="shared" si="2"/>
        <v>0</v>
      </c>
      <c r="F44" s="512">
        <f t="shared" si="9"/>
        <v>0</v>
      </c>
      <c r="G44" s="512"/>
      <c r="H44" s="512"/>
      <c r="I44" s="512"/>
      <c r="J44" s="512"/>
      <c r="K44" s="512"/>
      <c r="L44" s="512"/>
      <c r="M44" s="512"/>
      <c r="N44" s="512"/>
    </row>
    <row r="45" spans="1:14" s="342" customFormat="1" ht="25.5">
      <c r="A45" s="435">
        <v>700</v>
      </c>
      <c r="B45" s="435"/>
      <c r="C45" s="436"/>
      <c r="D45" s="437" t="s">
        <v>674</v>
      </c>
      <c r="E45" s="507">
        <f t="shared" si="2"/>
        <v>720700</v>
      </c>
      <c r="F45" s="508">
        <f t="shared" si="9"/>
        <v>596100</v>
      </c>
      <c r="G45" s="508">
        <f aca="true" t="shared" si="10" ref="G45:N45">SUM(G46)</f>
        <v>0</v>
      </c>
      <c r="H45" s="508">
        <f t="shared" si="10"/>
        <v>0</v>
      </c>
      <c r="I45" s="508">
        <f t="shared" si="10"/>
        <v>0</v>
      </c>
      <c r="J45" s="508">
        <f t="shared" si="10"/>
        <v>0</v>
      </c>
      <c r="K45" s="508">
        <f t="shared" si="10"/>
        <v>0</v>
      </c>
      <c r="L45" s="508">
        <f t="shared" si="10"/>
        <v>0</v>
      </c>
      <c r="M45" s="508">
        <f t="shared" si="10"/>
        <v>596100</v>
      </c>
      <c r="N45" s="508">
        <f t="shared" si="10"/>
        <v>124600</v>
      </c>
    </row>
    <row r="46" spans="1:14" s="343" customFormat="1" ht="25.5">
      <c r="A46" s="442"/>
      <c r="B46" s="442">
        <v>70005</v>
      </c>
      <c r="C46" s="443"/>
      <c r="D46" s="444" t="s">
        <v>675</v>
      </c>
      <c r="E46" s="507">
        <f t="shared" si="2"/>
        <v>720700</v>
      </c>
      <c r="F46" s="510">
        <f t="shared" si="9"/>
        <v>596100</v>
      </c>
      <c r="G46" s="510">
        <f>SUM(G47:G60)</f>
        <v>0</v>
      </c>
      <c r="H46" s="510">
        <f aca="true" t="shared" si="11" ref="H46:N46">SUM(H47:H60)</f>
        <v>0</v>
      </c>
      <c r="I46" s="510">
        <f t="shared" si="11"/>
        <v>0</v>
      </c>
      <c r="J46" s="510">
        <f t="shared" si="11"/>
        <v>0</v>
      </c>
      <c r="K46" s="510">
        <f t="shared" si="11"/>
        <v>0</v>
      </c>
      <c r="L46" s="510">
        <f t="shared" si="11"/>
        <v>0</v>
      </c>
      <c r="M46" s="510">
        <f t="shared" si="11"/>
        <v>596100</v>
      </c>
      <c r="N46" s="510">
        <f t="shared" si="11"/>
        <v>124600</v>
      </c>
    </row>
    <row r="47" spans="1:14" s="341" customFormat="1" ht="15">
      <c r="A47" s="435"/>
      <c r="B47" s="435"/>
      <c r="C47" s="453">
        <v>4260</v>
      </c>
      <c r="D47" s="511" t="s">
        <v>659</v>
      </c>
      <c r="E47" s="507">
        <f t="shared" si="2"/>
        <v>200000</v>
      </c>
      <c r="F47" s="512">
        <f t="shared" si="9"/>
        <v>200000</v>
      </c>
      <c r="G47" s="512"/>
      <c r="H47" s="512"/>
      <c r="I47" s="512"/>
      <c r="J47" s="512"/>
      <c r="K47" s="512"/>
      <c r="L47" s="512"/>
      <c r="M47" s="512">
        <v>200000</v>
      </c>
      <c r="N47" s="512"/>
    </row>
    <row r="48" spans="1:14" s="341" customFormat="1" ht="15">
      <c r="A48" s="452"/>
      <c r="B48" s="452"/>
      <c r="C48" s="453">
        <v>4270</v>
      </c>
      <c r="D48" s="511" t="s">
        <v>676</v>
      </c>
      <c r="E48" s="507">
        <f t="shared" si="2"/>
        <v>12200</v>
      </c>
      <c r="F48" s="512">
        <f t="shared" si="9"/>
        <v>12200</v>
      </c>
      <c r="G48" s="512"/>
      <c r="H48" s="512"/>
      <c r="I48" s="512"/>
      <c r="J48" s="512"/>
      <c r="K48" s="512"/>
      <c r="L48" s="512"/>
      <c r="M48" s="512">
        <v>12200</v>
      </c>
      <c r="N48" s="512"/>
    </row>
    <row r="49" spans="1:14" s="341" customFormat="1" ht="15">
      <c r="A49" s="452"/>
      <c r="B49" s="452"/>
      <c r="C49" s="453">
        <v>4300</v>
      </c>
      <c r="D49" s="511" t="s">
        <v>641</v>
      </c>
      <c r="E49" s="507">
        <f t="shared" si="2"/>
        <v>31400</v>
      </c>
      <c r="F49" s="512">
        <f t="shared" si="9"/>
        <v>31400</v>
      </c>
      <c r="G49" s="512"/>
      <c r="H49" s="512"/>
      <c r="I49" s="512"/>
      <c r="J49" s="512"/>
      <c r="K49" s="512"/>
      <c r="L49" s="512"/>
      <c r="M49" s="512">
        <v>31400</v>
      </c>
      <c r="N49" s="512"/>
    </row>
    <row r="50" spans="1:14" s="341" customFormat="1" ht="25.5">
      <c r="A50" s="452"/>
      <c r="B50" s="452"/>
      <c r="C50" s="453">
        <v>4350</v>
      </c>
      <c r="D50" s="511" t="s">
        <v>577</v>
      </c>
      <c r="E50" s="507">
        <f>F50+N50</f>
        <v>4000</v>
      </c>
      <c r="F50" s="512">
        <f>SUM(G50:M50)</f>
        <v>4000</v>
      </c>
      <c r="G50" s="512"/>
      <c r="H50" s="512"/>
      <c r="I50" s="512"/>
      <c r="J50" s="512"/>
      <c r="K50" s="512"/>
      <c r="L50" s="512"/>
      <c r="M50" s="512">
        <v>4000</v>
      </c>
      <c r="N50" s="512"/>
    </row>
    <row r="51" spans="1:14" s="341" customFormat="1" ht="38.25">
      <c r="A51" s="452"/>
      <c r="B51" s="452"/>
      <c r="C51" s="453">
        <v>4390</v>
      </c>
      <c r="D51" s="511" t="s">
        <v>207</v>
      </c>
      <c r="E51" s="507">
        <f t="shared" si="2"/>
        <v>116500</v>
      </c>
      <c r="F51" s="512">
        <f t="shared" si="9"/>
        <v>116500</v>
      </c>
      <c r="G51" s="512"/>
      <c r="H51" s="512"/>
      <c r="I51" s="512"/>
      <c r="J51" s="512"/>
      <c r="K51" s="512"/>
      <c r="L51" s="512"/>
      <c r="M51" s="512">
        <v>116500</v>
      </c>
      <c r="N51" s="512"/>
    </row>
    <row r="52" spans="1:14" s="341" customFormat="1" ht="51">
      <c r="A52" s="452"/>
      <c r="B52" s="452"/>
      <c r="C52" s="453">
        <v>4400</v>
      </c>
      <c r="D52" s="511" t="s">
        <v>362</v>
      </c>
      <c r="E52" s="507">
        <f>F52+N52</f>
        <v>200000</v>
      </c>
      <c r="F52" s="512">
        <f t="shared" si="9"/>
        <v>200000</v>
      </c>
      <c r="G52" s="512"/>
      <c r="H52" s="512"/>
      <c r="I52" s="512"/>
      <c r="J52" s="512"/>
      <c r="K52" s="512"/>
      <c r="L52" s="512"/>
      <c r="M52" s="512">
        <v>200000</v>
      </c>
      <c r="N52" s="512"/>
    </row>
    <row r="53" spans="1:14" s="341" customFormat="1" ht="15">
      <c r="A53" s="452"/>
      <c r="B53" s="452"/>
      <c r="C53" s="453">
        <v>4480</v>
      </c>
      <c r="D53" s="511" t="s">
        <v>670</v>
      </c>
      <c r="E53" s="507">
        <f t="shared" si="2"/>
        <v>1500</v>
      </c>
      <c r="F53" s="512">
        <f aca="true" t="shared" si="12" ref="F53:F80">SUM(G53:M53)</f>
        <v>1500</v>
      </c>
      <c r="G53" s="512"/>
      <c r="H53" s="512"/>
      <c r="I53" s="512"/>
      <c r="J53" s="512"/>
      <c r="K53" s="512"/>
      <c r="L53" s="512"/>
      <c r="M53" s="512">
        <v>1500</v>
      </c>
      <c r="N53" s="512"/>
    </row>
    <row r="54" spans="1:14" s="341" customFormat="1" ht="15" hidden="1">
      <c r="A54" s="452"/>
      <c r="B54" s="452"/>
      <c r="C54" s="453">
        <v>4580</v>
      </c>
      <c r="D54" s="511" t="s">
        <v>355</v>
      </c>
      <c r="E54" s="507">
        <f t="shared" si="2"/>
        <v>0</v>
      </c>
      <c r="F54" s="512">
        <f t="shared" si="12"/>
        <v>0</v>
      </c>
      <c r="G54" s="512"/>
      <c r="H54" s="512"/>
      <c r="I54" s="512"/>
      <c r="J54" s="512"/>
      <c r="K54" s="512"/>
      <c r="L54" s="512"/>
      <c r="M54" s="512"/>
      <c r="N54" s="512"/>
    </row>
    <row r="55" spans="1:14" s="341" customFormat="1" ht="15" hidden="1">
      <c r="A55" s="452"/>
      <c r="B55" s="452"/>
      <c r="C55" s="453">
        <v>4580</v>
      </c>
      <c r="D55" s="511" t="s">
        <v>355</v>
      </c>
      <c r="E55" s="507">
        <f t="shared" si="2"/>
        <v>0</v>
      </c>
      <c r="F55" s="512">
        <f aca="true" t="shared" si="13" ref="F55:F60">SUM(G55:M55)</f>
        <v>0</v>
      </c>
      <c r="G55" s="512"/>
      <c r="H55" s="512"/>
      <c r="I55" s="512"/>
      <c r="J55" s="512"/>
      <c r="K55" s="512"/>
      <c r="L55" s="512"/>
      <c r="M55" s="512"/>
      <c r="N55" s="512"/>
    </row>
    <row r="56" spans="1:14" s="341" customFormat="1" ht="38.25">
      <c r="A56" s="452"/>
      <c r="B56" s="452"/>
      <c r="C56" s="453">
        <v>4590</v>
      </c>
      <c r="D56" s="511" t="s">
        <v>423</v>
      </c>
      <c r="E56" s="507">
        <f t="shared" si="2"/>
        <v>30000</v>
      </c>
      <c r="F56" s="512">
        <f t="shared" si="13"/>
        <v>30000</v>
      </c>
      <c r="G56" s="512"/>
      <c r="H56" s="512"/>
      <c r="I56" s="512"/>
      <c r="J56" s="512"/>
      <c r="K56" s="512"/>
      <c r="L56" s="512"/>
      <c r="M56" s="512">
        <v>30000</v>
      </c>
      <c r="N56" s="512"/>
    </row>
    <row r="57" spans="1:14" s="341" customFormat="1" ht="25.5">
      <c r="A57" s="452"/>
      <c r="B57" s="452"/>
      <c r="C57" s="453">
        <v>4610</v>
      </c>
      <c r="D57" s="518" t="s">
        <v>677</v>
      </c>
      <c r="E57" s="507">
        <f t="shared" si="2"/>
        <v>500</v>
      </c>
      <c r="F57" s="512">
        <f t="shared" si="13"/>
        <v>500</v>
      </c>
      <c r="G57" s="512"/>
      <c r="H57" s="512"/>
      <c r="I57" s="512"/>
      <c r="J57" s="512"/>
      <c r="K57" s="512"/>
      <c r="L57" s="512"/>
      <c r="M57" s="512">
        <v>500</v>
      </c>
      <c r="N57" s="512"/>
    </row>
    <row r="58" spans="1:14" s="341" customFormat="1" ht="25.5">
      <c r="A58" s="435"/>
      <c r="B58" s="435"/>
      <c r="C58" s="516">
        <v>6050</v>
      </c>
      <c r="D58" s="517" t="s">
        <v>673</v>
      </c>
      <c r="E58" s="507">
        <f t="shared" si="2"/>
        <v>124600</v>
      </c>
      <c r="F58" s="512">
        <f t="shared" si="13"/>
        <v>0</v>
      </c>
      <c r="G58" s="512"/>
      <c r="H58" s="512"/>
      <c r="I58" s="512"/>
      <c r="J58" s="512"/>
      <c r="K58" s="512"/>
      <c r="L58" s="512"/>
      <c r="M58" s="512"/>
      <c r="N58" s="512">
        <v>124600</v>
      </c>
    </row>
    <row r="59" spans="1:14" s="341" customFormat="1" ht="38.25">
      <c r="A59" s="435"/>
      <c r="B59" s="435"/>
      <c r="C59" s="516">
        <v>6060</v>
      </c>
      <c r="D59" s="517" t="s">
        <v>322</v>
      </c>
      <c r="E59" s="507">
        <f t="shared" si="2"/>
        <v>0</v>
      </c>
      <c r="F59" s="512">
        <f t="shared" si="13"/>
        <v>0</v>
      </c>
      <c r="G59" s="512"/>
      <c r="H59" s="512"/>
      <c r="I59" s="512"/>
      <c r="J59" s="512"/>
      <c r="K59" s="512"/>
      <c r="L59" s="512"/>
      <c r="M59" s="512"/>
      <c r="N59" s="512"/>
    </row>
    <row r="60" spans="1:14" s="341" customFormat="1" ht="38.25" hidden="1">
      <c r="A60" s="435"/>
      <c r="B60" s="435"/>
      <c r="C60" s="516">
        <v>6060</v>
      </c>
      <c r="D60" s="517" t="s">
        <v>399</v>
      </c>
      <c r="E60" s="507">
        <f t="shared" si="2"/>
        <v>0</v>
      </c>
      <c r="F60" s="512">
        <f t="shared" si="13"/>
        <v>0</v>
      </c>
      <c r="G60" s="512"/>
      <c r="H60" s="512"/>
      <c r="I60" s="512"/>
      <c r="J60" s="512"/>
      <c r="K60" s="512"/>
      <c r="L60" s="512"/>
      <c r="M60" s="512"/>
      <c r="N60" s="512"/>
    </row>
    <row r="61" spans="1:14" s="342" customFormat="1" ht="25.5">
      <c r="A61" s="435">
        <v>710</v>
      </c>
      <c r="B61" s="435"/>
      <c r="C61" s="436"/>
      <c r="D61" s="437" t="s">
        <v>686</v>
      </c>
      <c r="E61" s="507">
        <f t="shared" si="2"/>
        <v>614320</v>
      </c>
      <c r="F61" s="508">
        <f t="shared" si="12"/>
        <v>614320</v>
      </c>
      <c r="G61" s="508">
        <f aca="true" t="shared" si="14" ref="G61:N61">SUM(G62+G64+G66+G92)</f>
        <v>334600</v>
      </c>
      <c r="H61" s="508">
        <f t="shared" si="14"/>
        <v>28000</v>
      </c>
      <c r="I61" s="508">
        <f t="shared" si="14"/>
        <v>66600</v>
      </c>
      <c r="J61" s="508">
        <f t="shared" si="14"/>
        <v>0</v>
      </c>
      <c r="K61" s="508">
        <f t="shared" si="14"/>
        <v>0</v>
      </c>
      <c r="L61" s="508">
        <f t="shared" si="14"/>
        <v>0</v>
      </c>
      <c r="M61" s="508">
        <f t="shared" si="14"/>
        <v>185120</v>
      </c>
      <c r="N61" s="508">
        <f t="shared" si="14"/>
        <v>0</v>
      </c>
    </row>
    <row r="62" spans="1:14" s="343" customFormat="1" ht="38.25">
      <c r="A62" s="442"/>
      <c r="B62" s="442">
        <v>71013</v>
      </c>
      <c r="C62" s="443"/>
      <c r="D62" s="444" t="s">
        <v>18</v>
      </c>
      <c r="E62" s="507">
        <f t="shared" si="2"/>
        <v>70000</v>
      </c>
      <c r="F62" s="510">
        <f t="shared" si="12"/>
        <v>70000</v>
      </c>
      <c r="G62" s="510">
        <f aca="true" t="shared" si="15" ref="G62:N62">SUM(G63)</f>
        <v>0</v>
      </c>
      <c r="H62" s="510">
        <f t="shared" si="15"/>
        <v>0</v>
      </c>
      <c r="I62" s="510">
        <f t="shared" si="15"/>
        <v>0</v>
      </c>
      <c r="J62" s="510">
        <f t="shared" si="15"/>
        <v>0</v>
      </c>
      <c r="K62" s="510">
        <f t="shared" si="15"/>
        <v>0</v>
      </c>
      <c r="L62" s="510">
        <f t="shared" si="15"/>
        <v>0</v>
      </c>
      <c r="M62" s="510">
        <f t="shared" si="15"/>
        <v>70000</v>
      </c>
      <c r="N62" s="510">
        <f t="shared" si="15"/>
        <v>0</v>
      </c>
    </row>
    <row r="63" spans="1:14" s="341" customFormat="1" ht="15">
      <c r="A63" s="452"/>
      <c r="B63" s="452"/>
      <c r="C63" s="453">
        <v>4300</v>
      </c>
      <c r="D63" s="511" t="s">
        <v>641</v>
      </c>
      <c r="E63" s="507">
        <f t="shared" si="2"/>
        <v>70000</v>
      </c>
      <c r="F63" s="512">
        <f t="shared" si="12"/>
        <v>70000</v>
      </c>
      <c r="G63" s="512"/>
      <c r="H63" s="512"/>
      <c r="I63" s="512"/>
      <c r="J63" s="512"/>
      <c r="K63" s="512"/>
      <c r="L63" s="512"/>
      <c r="M63" s="512">
        <v>70000</v>
      </c>
      <c r="N63" s="512"/>
    </row>
    <row r="64" spans="1:14" s="343" customFormat="1" ht="38.25">
      <c r="A64" s="442"/>
      <c r="B64" s="442">
        <v>71014</v>
      </c>
      <c r="C64" s="443"/>
      <c r="D64" s="444" t="s">
        <v>19</v>
      </c>
      <c r="E64" s="507">
        <f t="shared" si="2"/>
        <v>4900</v>
      </c>
      <c r="F64" s="510">
        <f t="shared" si="12"/>
        <v>4900</v>
      </c>
      <c r="G64" s="510">
        <f aca="true" t="shared" si="16" ref="G64:N64">SUM(G65:G65)</f>
        <v>0</v>
      </c>
      <c r="H64" s="510">
        <f t="shared" si="16"/>
        <v>0</v>
      </c>
      <c r="I64" s="510">
        <f t="shared" si="16"/>
        <v>0</v>
      </c>
      <c r="J64" s="510">
        <f t="shared" si="16"/>
        <v>0</v>
      </c>
      <c r="K64" s="510">
        <f t="shared" si="16"/>
        <v>0</v>
      </c>
      <c r="L64" s="510">
        <f t="shared" si="16"/>
        <v>0</v>
      </c>
      <c r="M64" s="510">
        <f t="shared" si="16"/>
        <v>4900</v>
      </c>
      <c r="N64" s="510">
        <f t="shared" si="16"/>
        <v>0</v>
      </c>
    </row>
    <row r="65" spans="1:14" s="341" customFormat="1" ht="38.25">
      <c r="A65" s="452"/>
      <c r="B65" s="452"/>
      <c r="C65" s="453">
        <v>4390</v>
      </c>
      <c r="D65" s="511" t="s">
        <v>207</v>
      </c>
      <c r="E65" s="507">
        <f t="shared" si="2"/>
        <v>4900</v>
      </c>
      <c r="F65" s="512">
        <f t="shared" si="12"/>
        <v>4900</v>
      </c>
      <c r="G65" s="512"/>
      <c r="H65" s="512"/>
      <c r="I65" s="512"/>
      <c r="J65" s="512"/>
      <c r="K65" s="512"/>
      <c r="L65" s="512"/>
      <c r="M65" s="512">
        <v>4900</v>
      </c>
      <c r="N65" s="512"/>
    </row>
    <row r="66" spans="1:14" s="343" customFormat="1" ht="15.75">
      <c r="A66" s="442"/>
      <c r="B66" s="442">
        <v>71015</v>
      </c>
      <c r="C66" s="443"/>
      <c r="D66" s="444" t="s">
        <v>20</v>
      </c>
      <c r="E66" s="507">
        <f t="shared" si="2"/>
        <v>535420</v>
      </c>
      <c r="F66" s="510">
        <f t="shared" si="12"/>
        <v>535420</v>
      </c>
      <c r="G66" s="510">
        <f aca="true" t="shared" si="17" ref="G66:L66">SUM(G67:G91)</f>
        <v>334600</v>
      </c>
      <c r="H66" s="510">
        <f t="shared" si="17"/>
        <v>28000</v>
      </c>
      <c r="I66" s="510">
        <f t="shared" si="17"/>
        <v>66600</v>
      </c>
      <c r="J66" s="510">
        <f t="shared" si="17"/>
        <v>0</v>
      </c>
      <c r="K66" s="510">
        <f t="shared" si="17"/>
        <v>0</v>
      </c>
      <c r="L66" s="510">
        <f t="shared" si="17"/>
        <v>0</v>
      </c>
      <c r="M66" s="510">
        <f>SUM(M67:M91)</f>
        <v>106220</v>
      </c>
      <c r="N66" s="510">
        <f>SUM(N67:N91)</f>
        <v>0</v>
      </c>
    </row>
    <row r="67" spans="1:14" s="341" customFormat="1" ht="25.5">
      <c r="A67" s="435"/>
      <c r="B67" s="435"/>
      <c r="C67" s="453">
        <v>3020</v>
      </c>
      <c r="D67" s="511" t="s">
        <v>211</v>
      </c>
      <c r="E67" s="507">
        <f t="shared" si="2"/>
        <v>330</v>
      </c>
      <c r="F67" s="512">
        <f t="shared" si="12"/>
        <v>330</v>
      </c>
      <c r="G67" s="512"/>
      <c r="H67" s="512"/>
      <c r="I67" s="512"/>
      <c r="J67" s="512"/>
      <c r="K67" s="512"/>
      <c r="L67" s="512"/>
      <c r="M67" s="512">
        <v>330</v>
      </c>
      <c r="N67" s="512"/>
    </row>
    <row r="68" spans="1:14" s="341" customFormat="1" ht="25.5">
      <c r="A68" s="435"/>
      <c r="B68" s="435"/>
      <c r="C68" s="516">
        <v>4010</v>
      </c>
      <c r="D68" s="511" t="s">
        <v>653</v>
      </c>
      <c r="E68" s="507">
        <f t="shared" si="2"/>
        <v>91600</v>
      </c>
      <c r="F68" s="512">
        <f t="shared" si="12"/>
        <v>91600</v>
      </c>
      <c r="G68" s="512">
        <v>91600</v>
      </c>
      <c r="H68" s="512"/>
      <c r="I68" s="512"/>
      <c r="J68" s="512"/>
      <c r="K68" s="512"/>
      <c r="L68" s="512"/>
      <c r="M68" s="512"/>
      <c r="N68" s="512"/>
    </row>
    <row r="69" spans="1:14" s="341" customFormat="1" ht="38.25">
      <c r="A69" s="435"/>
      <c r="B69" s="435"/>
      <c r="C69" s="516">
        <v>4020</v>
      </c>
      <c r="D69" s="511" t="s">
        <v>278</v>
      </c>
      <c r="E69" s="507">
        <f t="shared" si="2"/>
        <v>243000</v>
      </c>
      <c r="F69" s="512">
        <f>SUM(G69:M69)</f>
        <v>243000</v>
      </c>
      <c r="G69" s="512">
        <v>243000</v>
      </c>
      <c r="H69" s="512"/>
      <c r="I69" s="512"/>
      <c r="J69" s="512"/>
      <c r="K69" s="512"/>
      <c r="L69" s="512"/>
      <c r="M69" s="512"/>
      <c r="N69" s="512"/>
    </row>
    <row r="70" spans="1:14" s="341" customFormat="1" ht="25.5">
      <c r="A70" s="435"/>
      <c r="B70" s="435"/>
      <c r="C70" s="453">
        <v>4040</v>
      </c>
      <c r="D70" s="511" t="s">
        <v>654</v>
      </c>
      <c r="E70" s="507">
        <f t="shared" si="2"/>
        <v>28000</v>
      </c>
      <c r="F70" s="512">
        <f t="shared" si="12"/>
        <v>28000</v>
      </c>
      <c r="G70" s="512"/>
      <c r="H70" s="512">
        <v>28000</v>
      </c>
      <c r="I70" s="512"/>
      <c r="J70" s="512"/>
      <c r="K70" s="512"/>
      <c r="L70" s="512"/>
      <c r="M70" s="512"/>
      <c r="N70" s="512"/>
    </row>
    <row r="71" spans="1:14" s="341" customFormat="1" ht="25.5">
      <c r="A71" s="435"/>
      <c r="B71" s="435"/>
      <c r="C71" s="453">
        <v>4110</v>
      </c>
      <c r="D71" s="511" t="s">
        <v>655</v>
      </c>
      <c r="E71" s="507">
        <f t="shared" si="2"/>
        <v>57700</v>
      </c>
      <c r="F71" s="512">
        <f t="shared" si="12"/>
        <v>57700</v>
      </c>
      <c r="G71" s="512"/>
      <c r="H71" s="512"/>
      <c r="I71" s="512">
        <v>57700</v>
      </c>
      <c r="J71" s="512"/>
      <c r="K71" s="512"/>
      <c r="L71" s="512"/>
      <c r="M71" s="512"/>
      <c r="N71" s="512"/>
    </row>
    <row r="72" spans="1:14" s="341" customFormat="1" ht="15">
      <c r="A72" s="435"/>
      <c r="B72" s="435"/>
      <c r="C72" s="453">
        <v>4120</v>
      </c>
      <c r="D72" s="511" t="s">
        <v>656</v>
      </c>
      <c r="E72" s="507">
        <f t="shared" si="2"/>
        <v>8900</v>
      </c>
      <c r="F72" s="512">
        <f t="shared" si="12"/>
        <v>8900</v>
      </c>
      <c r="G72" s="512"/>
      <c r="H72" s="512"/>
      <c r="I72" s="512">
        <v>8900</v>
      </c>
      <c r="J72" s="512"/>
      <c r="K72" s="512"/>
      <c r="L72" s="512"/>
      <c r="M72" s="512"/>
      <c r="N72" s="512"/>
    </row>
    <row r="73" spans="1:14" s="341" customFormat="1" ht="25.5">
      <c r="A73" s="519"/>
      <c r="B73" s="435"/>
      <c r="C73" s="453">
        <v>4170</v>
      </c>
      <c r="D73" s="511" t="s">
        <v>21</v>
      </c>
      <c r="E73" s="507">
        <f t="shared" si="2"/>
        <v>0</v>
      </c>
      <c r="F73" s="512">
        <f t="shared" si="12"/>
        <v>0</v>
      </c>
      <c r="G73" s="512"/>
      <c r="H73" s="512"/>
      <c r="I73" s="512"/>
      <c r="J73" s="512"/>
      <c r="K73" s="512"/>
      <c r="L73" s="512"/>
      <c r="M73" s="512"/>
      <c r="N73" s="512"/>
    </row>
    <row r="74" spans="1:14" s="341" customFormat="1" ht="25.5">
      <c r="A74" s="435"/>
      <c r="B74" s="435"/>
      <c r="C74" s="453">
        <v>4210</v>
      </c>
      <c r="D74" s="511" t="s">
        <v>658</v>
      </c>
      <c r="E74" s="507">
        <f t="shared" si="2"/>
        <v>20000</v>
      </c>
      <c r="F74" s="512">
        <f t="shared" si="12"/>
        <v>20000</v>
      </c>
      <c r="G74" s="512"/>
      <c r="H74" s="512"/>
      <c r="I74" s="512"/>
      <c r="J74" s="512"/>
      <c r="K74" s="512"/>
      <c r="L74" s="512"/>
      <c r="M74" s="512">
        <v>20000</v>
      </c>
      <c r="N74" s="512"/>
    </row>
    <row r="75" spans="1:14" s="341" customFormat="1" ht="15">
      <c r="A75" s="435"/>
      <c r="B75" s="435"/>
      <c r="C75" s="453">
        <v>4260</v>
      </c>
      <c r="D75" s="511" t="s">
        <v>659</v>
      </c>
      <c r="E75" s="507">
        <f aca="true" t="shared" si="18" ref="E75:E139">F75+N75</f>
        <v>12500</v>
      </c>
      <c r="F75" s="512">
        <f t="shared" si="12"/>
        <v>12500</v>
      </c>
      <c r="G75" s="512"/>
      <c r="H75" s="512"/>
      <c r="I75" s="512"/>
      <c r="J75" s="512"/>
      <c r="K75" s="512"/>
      <c r="L75" s="512"/>
      <c r="M75" s="512">
        <v>12500</v>
      </c>
      <c r="N75" s="512"/>
    </row>
    <row r="76" spans="1:14" s="341" customFormat="1" ht="15">
      <c r="A76" s="435"/>
      <c r="B76" s="435"/>
      <c r="C76" s="453">
        <v>4270</v>
      </c>
      <c r="D76" s="511" t="s">
        <v>676</v>
      </c>
      <c r="E76" s="507">
        <f t="shared" si="18"/>
        <v>450</v>
      </c>
      <c r="F76" s="512">
        <f t="shared" si="12"/>
        <v>450</v>
      </c>
      <c r="G76" s="512"/>
      <c r="H76" s="512"/>
      <c r="I76" s="512"/>
      <c r="J76" s="512"/>
      <c r="K76" s="512"/>
      <c r="L76" s="512"/>
      <c r="M76" s="512">
        <v>450</v>
      </c>
      <c r="N76" s="512"/>
    </row>
    <row r="77" spans="1:14" s="341" customFormat="1" ht="15">
      <c r="A77" s="435"/>
      <c r="B77" s="435"/>
      <c r="C77" s="453">
        <v>4280</v>
      </c>
      <c r="D77" s="511" t="s">
        <v>22</v>
      </c>
      <c r="E77" s="507">
        <f t="shared" si="18"/>
        <v>0</v>
      </c>
      <c r="F77" s="512">
        <f t="shared" si="12"/>
        <v>0</v>
      </c>
      <c r="G77" s="512"/>
      <c r="H77" s="512"/>
      <c r="I77" s="512"/>
      <c r="J77" s="512"/>
      <c r="K77" s="512"/>
      <c r="L77" s="512"/>
      <c r="M77" s="512"/>
      <c r="N77" s="512"/>
    </row>
    <row r="78" spans="1:14" s="341" customFormat="1" ht="15">
      <c r="A78" s="435"/>
      <c r="B78" s="435"/>
      <c r="C78" s="453">
        <v>4300</v>
      </c>
      <c r="D78" s="511" t="s">
        <v>23</v>
      </c>
      <c r="E78" s="507">
        <f t="shared" si="18"/>
        <v>34000</v>
      </c>
      <c r="F78" s="512">
        <f t="shared" si="12"/>
        <v>34000</v>
      </c>
      <c r="G78" s="512"/>
      <c r="H78" s="512"/>
      <c r="I78" s="512"/>
      <c r="J78" s="512"/>
      <c r="K78" s="512"/>
      <c r="L78" s="512"/>
      <c r="M78" s="512">
        <v>34000</v>
      </c>
      <c r="N78" s="512"/>
    </row>
    <row r="79" spans="1:14" s="341" customFormat="1" ht="25.5">
      <c r="A79" s="435"/>
      <c r="B79" s="435"/>
      <c r="C79" s="453">
        <v>4350</v>
      </c>
      <c r="D79" s="511" t="s">
        <v>577</v>
      </c>
      <c r="E79" s="507">
        <f t="shared" si="18"/>
        <v>700</v>
      </c>
      <c r="F79" s="512">
        <f t="shared" si="12"/>
        <v>700</v>
      </c>
      <c r="G79" s="512"/>
      <c r="H79" s="512"/>
      <c r="I79" s="512"/>
      <c r="J79" s="512"/>
      <c r="K79" s="512"/>
      <c r="L79" s="512"/>
      <c r="M79" s="512">
        <v>700</v>
      </c>
      <c r="N79" s="512"/>
    </row>
    <row r="80" spans="1:14" s="341" customFormat="1" ht="38.25">
      <c r="A80" s="435"/>
      <c r="B80" s="435"/>
      <c r="C80" s="453">
        <v>4360</v>
      </c>
      <c r="D80" s="511" t="s">
        <v>208</v>
      </c>
      <c r="E80" s="507">
        <f t="shared" si="18"/>
        <v>1200</v>
      </c>
      <c r="F80" s="512">
        <f t="shared" si="12"/>
        <v>1200</v>
      </c>
      <c r="G80" s="512"/>
      <c r="H80" s="512"/>
      <c r="I80" s="512"/>
      <c r="J80" s="512"/>
      <c r="K80" s="512"/>
      <c r="L80" s="512"/>
      <c r="M80" s="512">
        <v>1200</v>
      </c>
      <c r="N80" s="512"/>
    </row>
    <row r="81" spans="1:14" s="341" customFormat="1" ht="38.25">
      <c r="A81" s="435"/>
      <c r="B81" s="435"/>
      <c r="C81" s="453">
        <v>4370</v>
      </c>
      <c r="D81" s="511" t="s">
        <v>209</v>
      </c>
      <c r="E81" s="507">
        <f t="shared" si="18"/>
        <v>4800</v>
      </c>
      <c r="F81" s="512">
        <f aca="true" t="shared" si="19" ref="F81:F166">SUM(G81:M81)</f>
        <v>4800</v>
      </c>
      <c r="G81" s="512"/>
      <c r="H81" s="512"/>
      <c r="I81" s="512"/>
      <c r="J81" s="512"/>
      <c r="K81" s="512"/>
      <c r="L81" s="512"/>
      <c r="M81" s="512">
        <v>4800</v>
      </c>
      <c r="N81" s="512"/>
    </row>
    <row r="82" spans="1:14" s="341" customFormat="1" ht="51">
      <c r="A82" s="435"/>
      <c r="B82" s="435"/>
      <c r="C82" s="453">
        <v>4400</v>
      </c>
      <c r="D82" s="511" t="s">
        <v>362</v>
      </c>
      <c r="E82" s="507">
        <f t="shared" si="18"/>
        <v>14400</v>
      </c>
      <c r="F82" s="512">
        <f t="shared" si="19"/>
        <v>14400</v>
      </c>
      <c r="G82" s="512"/>
      <c r="H82" s="512"/>
      <c r="I82" s="512"/>
      <c r="J82" s="512"/>
      <c r="K82" s="512"/>
      <c r="L82" s="512"/>
      <c r="M82" s="512">
        <v>14400</v>
      </c>
      <c r="N82" s="512"/>
    </row>
    <row r="83" spans="1:14" s="341" customFormat="1" ht="15">
      <c r="A83" s="435"/>
      <c r="B83" s="435"/>
      <c r="C83" s="453">
        <v>4410</v>
      </c>
      <c r="D83" s="511" t="s">
        <v>667</v>
      </c>
      <c r="E83" s="507">
        <f t="shared" si="18"/>
        <v>3000</v>
      </c>
      <c r="F83" s="512">
        <f t="shared" si="19"/>
        <v>3000</v>
      </c>
      <c r="G83" s="512"/>
      <c r="H83" s="512"/>
      <c r="I83" s="512"/>
      <c r="J83" s="512"/>
      <c r="K83" s="512"/>
      <c r="L83" s="512"/>
      <c r="M83" s="512">
        <v>3000</v>
      </c>
      <c r="N83" s="512"/>
    </row>
    <row r="84" spans="1:14" s="341" customFormat="1" ht="15">
      <c r="A84" s="435"/>
      <c r="B84" s="435"/>
      <c r="C84" s="453">
        <v>4430</v>
      </c>
      <c r="D84" s="511" t="s">
        <v>668</v>
      </c>
      <c r="E84" s="507">
        <f t="shared" si="18"/>
        <v>1500</v>
      </c>
      <c r="F84" s="512">
        <f t="shared" si="19"/>
        <v>1500</v>
      </c>
      <c r="G84" s="512"/>
      <c r="H84" s="512"/>
      <c r="I84" s="512"/>
      <c r="J84" s="512"/>
      <c r="K84" s="512"/>
      <c r="L84" s="512"/>
      <c r="M84" s="512">
        <v>1500</v>
      </c>
      <c r="N84" s="512"/>
    </row>
    <row r="85" spans="1:14" s="341" customFormat="1" ht="57.75" customHeight="1">
      <c r="A85" s="435"/>
      <c r="B85" s="435"/>
      <c r="C85" s="453">
        <v>4440</v>
      </c>
      <c r="D85" s="511" t="s">
        <v>669</v>
      </c>
      <c r="E85" s="507">
        <f t="shared" si="18"/>
        <v>8500</v>
      </c>
      <c r="F85" s="512">
        <f t="shared" si="19"/>
        <v>8500</v>
      </c>
      <c r="G85" s="512"/>
      <c r="H85" s="512"/>
      <c r="I85" s="512"/>
      <c r="J85" s="512"/>
      <c r="K85" s="512"/>
      <c r="L85" s="512"/>
      <c r="M85" s="512">
        <v>8500</v>
      </c>
      <c r="N85" s="512"/>
    </row>
    <row r="86" spans="1:14" s="341" customFormat="1" ht="15">
      <c r="A86" s="435"/>
      <c r="B86" s="435"/>
      <c r="C86" s="453">
        <v>4480</v>
      </c>
      <c r="D86" s="511" t="s">
        <v>71</v>
      </c>
      <c r="E86" s="507">
        <f t="shared" si="18"/>
        <v>1300</v>
      </c>
      <c r="F86" s="512">
        <f>SUM(G86:M86)</f>
        <v>1300</v>
      </c>
      <c r="G86" s="512"/>
      <c r="H86" s="512"/>
      <c r="I86" s="512"/>
      <c r="J86" s="512"/>
      <c r="K86" s="512"/>
      <c r="L86" s="512"/>
      <c r="M86" s="512">
        <v>1300</v>
      </c>
      <c r="N86" s="512"/>
    </row>
    <row r="87" spans="1:14" s="341" customFormat="1" ht="25.5">
      <c r="A87" s="435"/>
      <c r="B87" s="435"/>
      <c r="C87" s="453">
        <v>4550</v>
      </c>
      <c r="D87" s="511" t="s">
        <v>323</v>
      </c>
      <c r="E87" s="507">
        <f t="shared" si="18"/>
        <v>390</v>
      </c>
      <c r="F87" s="512">
        <f t="shared" si="19"/>
        <v>390</v>
      </c>
      <c r="G87" s="512"/>
      <c r="H87" s="512"/>
      <c r="I87" s="512"/>
      <c r="J87" s="512"/>
      <c r="K87" s="512"/>
      <c r="L87" s="512"/>
      <c r="M87" s="512">
        <v>390</v>
      </c>
      <c r="N87" s="512"/>
    </row>
    <row r="88" spans="1:14" s="341" customFormat="1" ht="51">
      <c r="A88" s="435"/>
      <c r="B88" s="435"/>
      <c r="C88" s="453">
        <v>4740</v>
      </c>
      <c r="D88" s="511" t="s">
        <v>24</v>
      </c>
      <c r="E88" s="507">
        <f t="shared" si="18"/>
        <v>550</v>
      </c>
      <c r="F88" s="512">
        <f t="shared" si="19"/>
        <v>550</v>
      </c>
      <c r="G88" s="512"/>
      <c r="H88" s="512"/>
      <c r="I88" s="512"/>
      <c r="J88" s="512"/>
      <c r="K88" s="512"/>
      <c r="L88" s="512"/>
      <c r="M88" s="512">
        <v>550</v>
      </c>
      <c r="N88" s="512"/>
    </row>
    <row r="89" spans="1:14" s="341" customFormat="1" ht="38.25">
      <c r="A89" s="435"/>
      <c r="B89" s="435"/>
      <c r="C89" s="453">
        <v>4700</v>
      </c>
      <c r="D89" s="511" t="s">
        <v>210</v>
      </c>
      <c r="E89" s="507">
        <f>F89+N89</f>
        <v>200</v>
      </c>
      <c r="F89" s="512">
        <f>SUM(G89:M89)</f>
        <v>200</v>
      </c>
      <c r="G89" s="512"/>
      <c r="H89" s="512"/>
      <c r="I89" s="512"/>
      <c r="J89" s="512"/>
      <c r="K89" s="512"/>
      <c r="L89" s="512"/>
      <c r="M89" s="512">
        <v>200</v>
      </c>
      <c r="N89" s="512"/>
    </row>
    <row r="90" spans="1:14" s="341" customFormat="1" ht="38.25">
      <c r="A90" s="435"/>
      <c r="B90" s="435"/>
      <c r="C90" s="453">
        <v>4750</v>
      </c>
      <c r="D90" s="511" t="s">
        <v>25</v>
      </c>
      <c r="E90" s="507">
        <f t="shared" si="18"/>
        <v>2400</v>
      </c>
      <c r="F90" s="512">
        <f t="shared" si="19"/>
        <v>2400</v>
      </c>
      <c r="G90" s="512"/>
      <c r="H90" s="512"/>
      <c r="I90" s="512"/>
      <c r="J90" s="512"/>
      <c r="K90" s="512"/>
      <c r="L90" s="512"/>
      <c r="M90" s="512">
        <v>2400</v>
      </c>
      <c r="N90" s="512"/>
    </row>
    <row r="91" spans="1:14" s="341" customFormat="1" ht="38.25" hidden="1">
      <c r="A91" s="435"/>
      <c r="B91" s="435"/>
      <c r="C91" s="453">
        <v>4610</v>
      </c>
      <c r="D91" s="517" t="s">
        <v>36</v>
      </c>
      <c r="E91" s="507">
        <f t="shared" si="18"/>
        <v>0</v>
      </c>
      <c r="F91" s="512">
        <f>SUM(G91:M91)</f>
        <v>0</v>
      </c>
      <c r="G91" s="512"/>
      <c r="H91" s="512"/>
      <c r="I91" s="512"/>
      <c r="J91" s="512"/>
      <c r="K91" s="512"/>
      <c r="L91" s="512"/>
      <c r="M91" s="512"/>
      <c r="N91" s="512">
        <v>0</v>
      </c>
    </row>
    <row r="92" spans="1:14" s="343" customFormat="1" ht="15.75">
      <c r="A92" s="442"/>
      <c r="B92" s="442">
        <v>71095</v>
      </c>
      <c r="C92" s="443"/>
      <c r="D92" s="444" t="s">
        <v>26</v>
      </c>
      <c r="E92" s="507">
        <f t="shared" si="18"/>
        <v>4000</v>
      </c>
      <c r="F92" s="510">
        <f t="shared" si="19"/>
        <v>4000</v>
      </c>
      <c r="G92" s="510">
        <f>SUM(G93:G93)</f>
        <v>0</v>
      </c>
      <c r="H92" s="510">
        <f aca="true" t="shared" si="20" ref="H92:N92">SUM(H93:H93)</f>
        <v>0</v>
      </c>
      <c r="I92" s="510">
        <f t="shared" si="20"/>
        <v>0</v>
      </c>
      <c r="J92" s="510">
        <f t="shared" si="20"/>
        <v>0</v>
      </c>
      <c r="K92" s="510">
        <f t="shared" si="20"/>
        <v>0</v>
      </c>
      <c r="L92" s="510">
        <f t="shared" si="20"/>
        <v>0</v>
      </c>
      <c r="M92" s="510">
        <f t="shared" si="20"/>
        <v>4000</v>
      </c>
      <c r="N92" s="510">
        <f t="shared" si="20"/>
        <v>0</v>
      </c>
    </row>
    <row r="93" spans="1:14" s="341" customFormat="1" ht="15">
      <c r="A93" s="452"/>
      <c r="B93" s="452"/>
      <c r="C93" s="453">
        <v>4300</v>
      </c>
      <c r="D93" s="511" t="s">
        <v>641</v>
      </c>
      <c r="E93" s="507">
        <f t="shared" si="18"/>
        <v>4000</v>
      </c>
      <c r="F93" s="512">
        <f t="shared" si="19"/>
        <v>4000</v>
      </c>
      <c r="G93" s="512"/>
      <c r="H93" s="512"/>
      <c r="I93" s="512"/>
      <c r="J93" s="512"/>
      <c r="K93" s="512"/>
      <c r="L93" s="512"/>
      <c r="M93" s="512">
        <v>4000</v>
      </c>
      <c r="N93" s="512"/>
    </row>
    <row r="94" spans="1:14" s="342" customFormat="1" ht="15.75">
      <c r="A94" s="520">
        <v>750</v>
      </c>
      <c r="B94" s="520"/>
      <c r="C94" s="520"/>
      <c r="D94" s="521" t="s">
        <v>27</v>
      </c>
      <c r="E94" s="507">
        <f t="shared" si="18"/>
        <v>8235991</v>
      </c>
      <c r="F94" s="508">
        <f t="shared" si="19"/>
        <v>8029991</v>
      </c>
      <c r="G94" s="508">
        <f aca="true" t="shared" si="21" ref="G94:N94">SUM(G98+G115+G125+G157+G172+G95)</f>
        <v>3771348</v>
      </c>
      <c r="H94" s="508">
        <f t="shared" si="21"/>
        <v>282000</v>
      </c>
      <c r="I94" s="508">
        <f t="shared" si="21"/>
        <v>674143</v>
      </c>
      <c r="J94" s="508">
        <f t="shared" si="21"/>
        <v>0</v>
      </c>
      <c r="K94" s="508">
        <f t="shared" si="21"/>
        <v>0</v>
      </c>
      <c r="L94" s="508">
        <f t="shared" si="21"/>
        <v>0</v>
      </c>
      <c r="M94" s="508">
        <f t="shared" si="21"/>
        <v>3302500</v>
      </c>
      <c r="N94" s="508">
        <f t="shared" si="21"/>
        <v>206000</v>
      </c>
    </row>
    <row r="95" spans="1:14" s="343" customFormat="1" ht="48" customHeight="1" hidden="1">
      <c r="A95" s="53"/>
      <c r="B95" s="53">
        <v>75001</v>
      </c>
      <c r="C95" s="53"/>
      <c r="D95" s="522" t="s">
        <v>578</v>
      </c>
      <c r="E95" s="507">
        <f t="shared" si="18"/>
        <v>0</v>
      </c>
      <c r="F95" s="510">
        <f>SUM(G95:M95)</f>
        <v>0</v>
      </c>
      <c r="G95" s="510">
        <f>SUM(G96:G97)</f>
        <v>0</v>
      </c>
      <c r="H95" s="510">
        <f aca="true" t="shared" si="22" ref="H95:N95">SUM(H96:H97)</f>
        <v>0</v>
      </c>
      <c r="I95" s="510">
        <f t="shared" si="22"/>
        <v>0</v>
      </c>
      <c r="J95" s="510">
        <f t="shared" si="22"/>
        <v>0</v>
      </c>
      <c r="K95" s="510">
        <f t="shared" si="22"/>
        <v>0</v>
      </c>
      <c r="L95" s="510">
        <f t="shared" si="22"/>
        <v>0</v>
      </c>
      <c r="M95" s="510">
        <f t="shared" si="22"/>
        <v>0</v>
      </c>
      <c r="N95" s="510">
        <f t="shared" si="22"/>
        <v>0</v>
      </c>
    </row>
    <row r="96" spans="1:14" s="341" customFormat="1" ht="76.5" hidden="1">
      <c r="A96" s="435"/>
      <c r="B96" s="435"/>
      <c r="C96" s="453">
        <v>2320</v>
      </c>
      <c r="D96" s="511" t="s">
        <v>88</v>
      </c>
      <c r="E96" s="507">
        <f t="shared" si="18"/>
        <v>0</v>
      </c>
      <c r="F96" s="512">
        <f>SUM(G96:M96)</f>
        <v>0</v>
      </c>
      <c r="G96" s="512"/>
      <c r="H96" s="512"/>
      <c r="I96" s="512"/>
      <c r="J96" s="512"/>
      <c r="K96" s="512"/>
      <c r="L96" s="512"/>
      <c r="M96" s="512"/>
      <c r="N96" s="512"/>
    </row>
    <row r="97" spans="1:14" s="341" customFormat="1" ht="15" hidden="1">
      <c r="A97" s="452"/>
      <c r="B97" s="452"/>
      <c r="C97" s="453">
        <v>4309</v>
      </c>
      <c r="D97" s="511" t="s">
        <v>641</v>
      </c>
      <c r="E97" s="507">
        <f t="shared" si="18"/>
        <v>0</v>
      </c>
      <c r="F97" s="512">
        <f>SUM(G97:M97)</f>
        <v>0</v>
      </c>
      <c r="G97" s="512"/>
      <c r="H97" s="512"/>
      <c r="I97" s="512"/>
      <c r="J97" s="512"/>
      <c r="K97" s="512"/>
      <c r="L97" s="512"/>
      <c r="M97" s="512"/>
      <c r="N97" s="512"/>
    </row>
    <row r="98" spans="1:14" s="343" customFormat="1" ht="15.75">
      <c r="A98" s="53"/>
      <c r="B98" s="53">
        <v>75011</v>
      </c>
      <c r="C98" s="53"/>
      <c r="D98" s="522" t="s">
        <v>28</v>
      </c>
      <c r="E98" s="507">
        <f t="shared" si="18"/>
        <v>608902</v>
      </c>
      <c r="F98" s="510">
        <f t="shared" si="19"/>
        <v>608902</v>
      </c>
      <c r="G98" s="510">
        <f aca="true" t="shared" si="23" ref="G98:M98">SUM(G99:G114)</f>
        <v>424002</v>
      </c>
      <c r="H98" s="510">
        <f t="shared" si="23"/>
        <v>33000</v>
      </c>
      <c r="I98" s="510">
        <f t="shared" si="23"/>
        <v>82700</v>
      </c>
      <c r="J98" s="510">
        <f t="shared" si="23"/>
        <v>0</v>
      </c>
      <c r="K98" s="510">
        <f t="shared" si="23"/>
        <v>0</v>
      </c>
      <c r="L98" s="510">
        <f t="shared" si="23"/>
        <v>0</v>
      </c>
      <c r="M98" s="510">
        <f t="shared" si="23"/>
        <v>69200</v>
      </c>
      <c r="N98" s="510">
        <f>SUM(N99:N114)</f>
        <v>0</v>
      </c>
    </row>
    <row r="99" spans="1:14" s="341" customFormat="1" ht="25.5" hidden="1">
      <c r="A99" s="435"/>
      <c r="B99" s="435"/>
      <c r="C99" s="453">
        <v>3020</v>
      </c>
      <c r="D99" s="511" t="s">
        <v>211</v>
      </c>
      <c r="E99" s="507">
        <f t="shared" si="18"/>
        <v>0</v>
      </c>
      <c r="F99" s="512">
        <f t="shared" si="19"/>
        <v>0</v>
      </c>
      <c r="G99" s="512"/>
      <c r="H99" s="512"/>
      <c r="I99" s="512"/>
      <c r="J99" s="512"/>
      <c r="K99" s="512"/>
      <c r="L99" s="512"/>
      <c r="M99" s="512"/>
      <c r="N99" s="512"/>
    </row>
    <row r="100" spans="1:14" s="341" customFormat="1" ht="25.5">
      <c r="A100" s="435"/>
      <c r="B100" s="435"/>
      <c r="C100" s="516">
        <v>4010</v>
      </c>
      <c r="D100" s="511" t="s">
        <v>653</v>
      </c>
      <c r="E100" s="507">
        <f t="shared" si="18"/>
        <v>424002</v>
      </c>
      <c r="F100" s="512">
        <f t="shared" si="19"/>
        <v>424002</v>
      </c>
      <c r="G100" s="512">
        <v>424002</v>
      </c>
      <c r="H100" s="512"/>
      <c r="I100" s="512"/>
      <c r="J100" s="512"/>
      <c r="K100" s="512"/>
      <c r="L100" s="512"/>
      <c r="M100" s="512"/>
      <c r="N100" s="512"/>
    </row>
    <row r="101" spans="1:14" s="341" customFormat="1" ht="33" customHeight="1">
      <c r="A101" s="519"/>
      <c r="B101" s="435"/>
      <c r="C101" s="453">
        <v>4170</v>
      </c>
      <c r="D101" s="511" t="s">
        <v>21</v>
      </c>
      <c r="E101" s="507">
        <f t="shared" si="18"/>
        <v>33000</v>
      </c>
      <c r="F101" s="512">
        <f>SUM(G101:M101)</f>
        <v>33000</v>
      </c>
      <c r="G101" s="512"/>
      <c r="H101" s="512">
        <v>33000</v>
      </c>
      <c r="I101" s="512"/>
      <c r="J101" s="512"/>
      <c r="K101" s="512"/>
      <c r="L101" s="512"/>
      <c r="M101" s="512"/>
      <c r="N101" s="512"/>
    </row>
    <row r="102" spans="1:14" s="341" customFormat="1" ht="25.5">
      <c r="A102" s="435"/>
      <c r="B102" s="435"/>
      <c r="C102" s="453">
        <v>4040</v>
      </c>
      <c r="D102" s="511" t="s">
        <v>654</v>
      </c>
      <c r="E102" s="507">
        <f t="shared" si="18"/>
        <v>0</v>
      </c>
      <c r="F102" s="512">
        <f t="shared" si="19"/>
        <v>0</v>
      </c>
      <c r="G102" s="512"/>
      <c r="H102" s="512"/>
      <c r="I102" s="512"/>
      <c r="J102" s="512"/>
      <c r="K102" s="512"/>
      <c r="L102" s="512"/>
      <c r="M102" s="512"/>
      <c r="N102" s="512"/>
    </row>
    <row r="103" spans="1:14" s="341" customFormat="1" ht="25.5">
      <c r="A103" s="435"/>
      <c r="B103" s="435"/>
      <c r="C103" s="453">
        <v>4110</v>
      </c>
      <c r="D103" s="511" t="s">
        <v>655</v>
      </c>
      <c r="E103" s="507">
        <f t="shared" si="18"/>
        <v>71000</v>
      </c>
      <c r="F103" s="512">
        <f t="shared" si="19"/>
        <v>71000</v>
      </c>
      <c r="G103" s="512"/>
      <c r="H103" s="512"/>
      <c r="I103" s="512">
        <v>71000</v>
      </c>
      <c r="J103" s="512"/>
      <c r="K103" s="512"/>
      <c r="L103" s="512"/>
      <c r="M103" s="512"/>
      <c r="N103" s="512"/>
    </row>
    <row r="104" spans="1:14" s="341" customFormat="1" ht="15">
      <c r="A104" s="435"/>
      <c r="B104" s="435"/>
      <c r="C104" s="453">
        <v>4120</v>
      </c>
      <c r="D104" s="511" t="s">
        <v>656</v>
      </c>
      <c r="E104" s="507">
        <f t="shared" si="18"/>
        <v>11700</v>
      </c>
      <c r="F104" s="512">
        <f t="shared" si="19"/>
        <v>11700</v>
      </c>
      <c r="G104" s="512"/>
      <c r="H104" s="512"/>
      <c r="I104" s="512">
        <v>11700</v>
      </c>
      <c r="J104" s="512"/>
      <c r="K104" s="512"/>
      <c r="L104" s="512"/>
      <c r="M104" s="512"/>
      <c r="N104" s="512"/>
    </row>
    <row r="105" spans="1:14" s="341" customFormat="1" ht="25.5">
      <c r="A105" s="519"/>
      <c r="B105" s="435"/>
      <c r="C105" s="453">
        <v>4170</v>
      </c>
      <c r="D105" s="511" t="s">
        <v>21</v>
      </c>
      <c r="E105" s="507">
        <f t="shared" si="18"/>
        <v>10200</v>
      </c>
      <c r="F105" s="512">
        <f t="shared" si="19"/>
        <v>10200</v>
      </c>
      <c r="G105" s="512"/>
      <c r="H105" s="512"/>
      <c r="I105" s="512"/>
      <c r="J105" s="512"/>
      <c r="K105" s="512"/>
      <c r="L105" s="512"/>
      <c r="M105" s="512">
        <v>10200</v>
      </c>
      <c r="N105" s="512"/>
    </row>
    <row r="106" spans="1:14" s="341" customFormat="1" ht="15" hidden="1">
      <c r="A106" s="435"/>
      <c r="B106" s="435"/>
      <c r="C106" s="453">
        <v>4280</v>
      </c>
      <c r="D106" s="511" t="s">
        <v>29</v>
      </c>
      <c r="E106" s="507">
        <f t="shared" si="18"/>
        <v>0</v>
      </c>
      <c r="F106" s="512">
        <f t="shared" si="19"/>
        <v>0</v>
      </c>
      <c r="G106" s="512"/>
      <c r="H106" s="512"/>
      <c r="I106" s="512"/>
      <c r="J106" s="512"/>
      <c r="K106" s="512"/>
      <c r="L106" s="512"/>
      <c r="M106" s="512"/>
      <c r="N106" s="512"/>
    </row>
    <row r="107" spans="1:14" s="341" customFormat="1" ht="15" hidden="1">
      <c r="A107" s="435"/>
      <c r="B107" s="435"/>
      <c r="C107" s="453">
        <v>4300</v>
      </c>
      <c r="D107" s="511" t="s">
        <v>23</v>
      </c>
      <c r="E107" s="507">
        <f t="shared" si="18"/>
        <v>0</v>
      </c>
      <c r="F107" s="512">
        <f t="shared" si="19"/>
        <v>0</v>
      </c>
      <c r="G107" s="512"/>
      <c r="H107" s="512"/>
      <c r="I107" s="512"/>
      <c r="J107" s="512"/>
      <c r="K107" s="512"/>
      <c r="L107" s="512"/>
      <c r="M107" s="512"/>
      <c r="N107" s="512"/>
    </row>
    <row r="108" spans="1:14" s="341" customFormat="1" ht="15" hidden="1">
      <c r="A108" s="435"/>
      <c r="B108" s="435"/>
      <c r="C108" s="453">
        <v>4410</v>
      </c>
      <c r="D108" s="511" t="s">
        <v>667</v>
      </c>
      <c r="E108" s="507">
        <f t="shared" si="18"/>
        <v>0</v>
      </c>
      <c r="F108" s="512">
        <f t="shared" si="19"/>
        <v>0</v>
      </c>
      <c r="G108" s="512"/>
      <c r="H108" s="512"/>
      <c r="I108" s="512"/>
      <c r="J108" s="512"/>
      <c r="K108" s="512"/>
      <c r="L108" s="512"/>
      <c r="M108" s="512"/>
      <c r="N108" s="512"/>
    </row>
    <row r="109" spans="1:14" s="341" customFormat="1" ht="38.25">
      <c r="A109" s="435"/>
      <c r="B109" s="435"/>
      <c r="C109" s="453">
        <v>4440</v>
      </c>
      <c r="D109" s="511" t="s">
        <v>669</v>
      </c>
      <c r="E109" s="507">
        <f t="shared" si="18"/>
        <v>11000</v>
      </c>
      <c r="F109" s="512">
        <f t="shared" si="19"/>
        <v>11000</v>
      </c>
      <c r="G109" s="512"/>
      <c r="H109" s="512"/>
      <c r="I109" s="512"/>
      <c r="J109" s="512"/>
      <c r="K109" s="512"/>
      <c r="L109" s="512"/>
      <c r="M109" s="512">
        <v>11000</v>
      </c>
      <c r="N109" s="512"/>
    </row>
    <row r="110" spans="1:14" s="341" customFormat="1" ht="25.5">
      <c r="A110" s="435"/>
      <c r="B110" s="435"/>
      <c r="C110" s="453">
        <v>4210</v>
      </c>
      <c r="D110" s="511" t="s">
        <v>50</v>
      </c>
      <c r="E110" s="507">
        <f t="shared" si="18"/>
        <v>5000</v>
      </c>
      <c r="F110" s="512">
        <f t="shared" si="19"/>
        <v>5000</v>
      </c>
      <c r="G110" s="512"/>
      <c r="H110" s="512"/>
      <c r="I110" s="512"/>
      <c r="J110" s="512"/>
      <c r="K110" s="512"/>
      <c r="L110" s="512"/>
      <c r="M110" s="512">
        <v>5000</v>
      </c>
      <c r="N110" s="512"/>
    </row>
    <row r="111" spans="1:14" s="341" customFormat="1" ht="33" customHeight="1">
      <c r="A111" s="435"/>
      <c r="B111" s="435"/>
      <c r="C111" s="453">
        <v>4300</v>
      </c>
      <c r="D111" s="511" t="s">
        <v>23</v>
      </c>
      <c r="E111" s="507">
        <f t="shared" si="18"/>
        <v>3000</v>
      </c>
      <c r="F111" s="512">
        <f t="shared" si="19"/>
        <v>3000</v>
      </c>
      <c r="G111" s="512"/>
      <c r="H111" s="512"/>
      <c r="I111" s="512"/>
      <c r="J111" s="512"/>
      <c r="K111" s="512"/>
      <c r="L111" s="512"/>
      <c r="M111" s="512">
        <v>3000</v>
      </c>
      <c r="N111" s="512"/>
    </row>
    <row r="112" spans="1:14" s="341" customFormat="1" ht="71.25" customHeight="1">
      <c r="A112" s="435"/>
      <c r="B112" s="435"/>
      <c r="C112" s="453">
        <v>4380</v>
      </c>
      <c r="D112" s="511" t="s">
        <v>207</v>
      </c>
      <c r="E112" s="507">
        <f t="shared" si="18"/>
        <v>10000</v>
      </c>
      <c r="F112" s="512">
        <f>SUM(G112:M112)</f>
        <v>10000</v>
      </c>
      <c r="G112" s="512"/>
      <c r="H112" s="512"/>
      <c r="I112" s="512"/>
      <c r="J112" s="512"/>
      <c r="K112" s="512"/>
      <c r="L112" s="512"/>
      <c r="M112" s="512">
        <v>10000</v>
      </c>
      <c r="N112" s="512"/>
    </row>
    <row r="113" spans="1:14" s="341" customFormat="1" ht="25.5">
      <c r="A113" s="452"/>
      <c r="B113" s="452"/>
      <c r="C113" s="453">
        <v>4610</v>
      </c>
      <c r="D113" s="518" t="s">
        <v>677</v>
      </c>
      <c r="E113" s="507">
        <f t="shared" si="18"/>
        <v>30000</v>
      </c>
      <c r="F113" s="512">
        <f>SUM(G113:M113)</f>
        <v>30000</v>
      </c>
      <c r="G113" s="512"/>
      <c r="H113" s="512"/>
      <c r="I113" s="512"/>
      <c r="J113" s="512"/>
      <c r="K113" s="512"/>
      <c r="L113" s="512"/>
      <c r="M113" s="512">
        <v>30000</v>
      </c>
      <c r="N113" s="512"/>
    </row>
    <row r="114" spans="1:14" s="341" customFormat="1" ht="49.5" customHeight="1" hidden="1">
      <c r="A114" s="435"/>
      <c r="B114" s="435"/>
      <c r="C114" s="453">
        <v>4700</v>
      </c>
      <c r="D114" s="511" t="s">
        <v>210</v>
      </c>
      <c r="E114" s="507">
        <f t="shared" si="18"/>
        <v>0</v>
      </c>
      <c r="F114" s="512">
        <f>SUM(G114:M114)</f>
        <v>0</v>
      </c>
      <c r="G114" s="512"/>
      <c r="H114" s="512"/>
      <c r="I114" s="512"/>
      <c r="J114" s="512"/>
      <c r="K114" s="512"/>
      <c r="L114" s="512"/>
      <c r="M114" s="512"/>
      <c r="N114" s="512"/>
    </row>
    <row r="115" spans="1:14" s="343" customFormat="1" ht="15.75">
      <c r="A115" s="442"/>
      <c r="B115" s="442">
        <v>75019</v>
      </c>
      <c r="C115" s="443"/>
      <c r="D115" s="444" t="s">
        <v>30</v>
      </c>
      <c r="E115" s="507">
        <f t="shared" si="18"/>
        <v>405200</v>
      </c>
      <c r="F115" s="510">
        <f t="shared" si="19"/>
        <v>405200</v>
      </c>
      <c r="G115" s="510">
        <f aca="true" t="shared" si="24" ref="G115:L115">SUM(G116:G124)</f>
        <v>0</v>
      </c>
      <c r="H115" s="510">
        <f t="shared" si="24"/>
        <v>0</v>
      </c>
      <c r="I115" s="510">
        <f t="shared" si="24"/>
        <v>0</v>
      </c>
      <c r="J115" s="510">
        <f t="shared" si="24"/>
        <v>0</v>
      </c>
      <c r="K115" s="510">
        <f t="shared" si="24"/>
        <v>0</v>
      </c>
      <c r="L115" s="510">
        <f t="shared" si="24"/>
        <v>0</v>
      </c>
      <c r="M115" s="510">
        <f>SUM(M116:M124)</f>
        <v>405200</v>
      </c>
      <c r="N115" s="510">
        <f>SUM(N116:N122)</f>
        <v>0</v>
      </c>
    </row>
    <row r="116" spans="1:14" s="341" customFormat="1" ht="25.5">
      <c r="A116" s="452"/>
      <c r="B116" s="452"/>
      <c r="C116" s="453">
        <v>3030</v>
      </c>
      <c r="D116" s="511" t="s">
        <v>31</v>
      </c>
      <c r="E116" s="507">
        <f t="shared" si="18"/>
        <v>374000</v>
      </c>
      <c r="F116" s="512">
        <f t="shared" si="19"/>
        <v>374000</v>
      </c>
      <c r="G116" s="512"/>
      <c r="H116" s="512"/>
      <c r="I116" s="512"/>
      <c r="J116" s="512"/>
      <c r="K116" s="512"/>
      <c r="L116" s="512"/>
      <c r="M116" s="512">
        <v>374000</v>
      </c>
      <c r="N116" s="512"/>
    </row>
    <row r="117" spans="1:14" s="341" customFormat="1" ht="25.5">
      <c r="A117" s="452"/>
      <c r="B117" s="452"/>
      <c r="C117" s="453">
        <v>4210</v>
      </c>
      <c r="D117" s="511" t="s">
        <v>658</v>
      </c>
      <c r="E117" s="507">
        <f t="shared" si="18"/>
        <v>12800</v>
      </c>
      <c r="F117" s="512">
        <f t="shared" si="19"/>
        <v>12800</v>
      </c>
      <c r="G117" s="512"/>
      <c r="H117" s="512"/>
      <c r="I117" s="512"/>
      <c r="J117" s="512"/>
      <c r="K117" s="512"/>
      <c r="L117" s="512"/>
      <c r="M117" s="512">
        <v>12800</v>
      </c>
      <c r="N117" s="512"/>
    </row>
    <row r="118" spans="1:14" s="341" customFormat="1" ht="42" customHeight="1">
      <c r="A118" s="452"/>
      <c r="B118" s="452"/>
      <c r="C118" s="453">
        <v>4300</v>
      </c>
      <c r="D118" s="511" t="s">
        <v>32</v>
      </c>
      <c r="E118" s="507">
        <f t="shared" si="18"/>
        <v>7300</v>
      </c>
      <c r="F118" s="512">
        <f t="shared" si="19"/>
        <v>7300</v>
      </c>
      <c r="G118" s="512"/>
      <c r="H118" s="512"/>
      <c r="I118" s="512"/>
      <c r="J118" s="512"/>
      <c r="K118" s="512"/>
      <c r="L118" s="512"/>
      <c r="M118" s="512">
        <v>7300</v>
      </c>
      <c r="N118" s="512"/>
    </row>
    <row r="119" spans="1:14" s="341" customFormat="1" ht="38.25">
      <c r="A119" s="452"/>
      <c r="B119" s="452"/>
      <c r="C119" s="453">
        <v>4360</v>
      </c>
      <c r="D119" s="511" t="s">
        <v>356</v>
      </c>
      <c r="E119" s="507">
        <f t="shared" si="18"/>
        <v>8500</v>
      </c>
      <c r="F119" s="512">
        <f>SUM(G119:M119)</f>
        <v>8500</v>
      </c>
      <c r="G119" s="512"/>
      <c r="H119" s="512"/>
      <c r="I119" s="512"/>
      <c r="J119" s="512"/>
      <c r="K119" s="512"/>
      <c r="L119" s="512"/>
      <c r="M119" s="512">
        <v>8500</v>
      </c>
      <c r="N119" s="512"/>
    </row>
    <row r="120" spans="1:14" s="341" customFormat="1" ht="38.25" hidden="1">
      <c r="A120" s="452"/>
      <c r="B120" s="452"/>
      <c r="C120" s="453">
        <v>4370</v>
      </c>
      <c r="D120" s="511" t="s">
        <v>209</v>
      </c>
      <c r="E120" s="507">
        <f t="shared" si="18"/>
        <v>0</v>
      </c>
      <c r="F120" s="512">
        <f t="shared" si="19"/>
        <v>0</v>
      </c>
      <c r="G120" s="512"/>
      <c r="H120" s="512"/>
      <c r="I120" s="512"/>
      <c r="J120" s="512"/>
      <c r="K120" s="512"/>
      <c r="L120" s="512"/>
      <c r="M120" s="512"/>
      <c r="N120" s="512"/>
    </row>
    <row r="121" spans="1:14" s="341" customFormat="1" ht="76.5" customHeight="1">
      <c r="A121" s="452"/>
      <c r="B121" s="452"/>
      <c r="C121" s="453">
        <v>4400</v>
      </c>
      <c r="D121" s="511" t="s">
        <v>362</v>
      </c>
      <c r="E121" s="507">
        <f t="shared" si="18"/>
        <v>2600</v>
      </c>
      <c r="F121" s="512">
        <f t="shared" si="19"/>
        <v>2600</v>
      </c>
      <c r="G121" s="512"/>
      <c r="H121" s="512"/>
      <c r="I121" s="512"/>
      <c r="J121" s="512"/>
      <c r="K121" s="512"/>
      <c r="L121" s="512"/>
      <c r="M121" s="512">
        <v>2600</v>
      </c>
      <c r="N121" s="512"/>
    </row>
    <row r="122" spans="1:14" s="341" customFormat="1" ht="15" hidden="1">
      <c r="A122" s="452"/>
      <c r="B122" s="452"/>
      <c r="C122" s="453">
        <v>4410</v>
      </c>
      <c r="D122" s="511" t="s">
        <v>667</v>
      </c>
      <c r="E122" s="507">
        <f t="shared" si="18"/>
        <v>0</v>
      </c>
      <c r="F122" s="512">
        <f t="shared" si="19"/>
        <v>0</v>
      </c>
      <c r="G122" s="512"/>
      <c r="H122" s="512"/>
      <c r="I122" s="512"/>
      <c r="J122" s="512"/>
      <c r="K122" s="512"/>
      <c r="L122" s="512"/>
      <c r="M122" s="512"/>
      <c r="N122" s="512"/>
    </row>
    <row r="123" spans="1:14" s="341" customFormat="1" ht="25.5" hidden="1">
      <c r="A123" s="452"/>
      <c r="B123" s="523"/>
      <c r="C123" s="524">
        <v>4420</v>
      </c>
      <c r="D123" s="525" t="s">
        <v>358</v>
      </c>
      <c r="E123" s="507">
        <f t="shared" si="18"/>
        <v>0</v>
      </c>
      <c r="F123" s="512">
        <f>SUM(G123:M123)</f>
        <v>0</v>
      </c>
      <c r="G123" s="512"/>
      <c r="H123" s="512"/>
      <c r="I123" s="512"/>
      <c r="J123" s="512"/>
      <c r="K123" s="512"/>
      <c r="L123" s="512"/>
      <c r="M123" s="512"/>
      <c r="N123" s="512"/>
    </row>
    <row r="124" spans="1:14" s="341" customFormat="1" ht="38.25" hidden="1">
      <c r="A124" s="452"/>
      <c r="B124" s="452"/>
      <c r="C124" s="453">
        <v>4700</v>
      </c>
      <c r="D124" s="511" t="s">
        <v>210</v>
      </c>
      <c r="E124" s="507">
        <f t="shared" si="18"/>
        <v>0</v>
      </c>
      <c r="F124" s="512">
        <f t="shared" si="19"/>
        <v>0</v>
      </c>
      <c r="G124" s="512"/>
      <c r="H124" s="512"/>
      <c r="I124" s="512"/>
      <c r="J124" s="512"/>
      <c r="K124" s="512"/>
      <c r="L124" s="512"/>
      <c r="M124" s="512"/>
      <c r="N124" s="512"/>
    </row>
    <row r="125" spans="1:14" s="343" customFormat="1" ht="15.75">
      <c r="A125" s="442"/>
      <c r="B125" s="442">
        <v>75020</v>
      </c>
      <c r="C125" s="443"/>
      <c r="D125" s="444" t="s">
        <v>33</v>
      </c>
      <c r="E125" s="507">
        <f t="shared" si="18"/>
        <v>7097789</v>
      </c>
      <c r="F125" s="510">
        <f t="shared" si="19"/>
        <v>6891789</v>
      </c>
      <c r="G125" s="510">
        <f aca="true" t="shared" si="25" ref="G125:N125">SUM(G126:G156)</f>
        <v>3347346</v>
      </c>
      <c r="H125" s="510">
        <f t="shared" si="25"/>
        <v>249000</v>
      </c>
      <c r="I125" s="510">
        <f t="shared" si="25"/>
        <v>590543</v>
      </c>
      <c r="J125" s="510">
        <f t="shared" si="25"/>
        <v>0</v>
      </c>
      <c r="K125" s="510">
        <f t="shared" si="25"/>
        <v>0</v>
      </c>
      <c r="L125" s="510">
        <f t="shared" si="25"/>
        <v>0</v>
      </c>
      <c r="M125" s="510">
        <f t="shared" si="25"/>
        <v>2704900</v>
      </c>
      <c r="N125" s="510">
        <f t="shared" si="25"/>
        <v>206000</v>
      </c>
    </row>
    <row r="126" spans="1:14" s="341" customFormat="1" ht="76.5">
      <c r="A126" s="452"/>
      <c r="B126" s="452"/>
      <c r="C126" s="453">
        <v>2900</v>
      </c>
      <c r="D126" s="511" t="s">
        <v>42</v>
      </c>
      <c r="E126" s="507">
        <f t="shared" si="18"/>
        <v>12300</v>
      </c>
      <c r="F126" s="512">
        <f t="shared" si="19"/>
        <v>12300</v>
      </c>
      <c r="G126" s="512"/>
      <c r="H126" s="512"/>
      <c r="I126" s="512"/>
      <c r="J126" s="512"/>
      <c r="K126" s="512"/>
      <c r="L126" s="512"/>
      <c r="M126" s="512">
        <v>12300</v>
      </c>
      <c r="N126" s="512"/>
    </row>
    <row r="127" spans="1:14" s="341" customFormat="1" ht="25.5">
      <c r="A127" s="519"/>
      <c r="B127" s="435"/>
      <c r="C127" s="453">
        <v>3020</v>
      </c>
      <c r="D127" s="511" t="s">
        <v>211</v>
      </c>
      <c r="E127" s="507">
        <f t="shared" si="18"/>
        <v>4600</v>
      </c>
      <c r="F127" s="512">
        <f t="shared" si="19"/>
        <v>4600</v>
      </c>
      <c r="G127" s="512"/>
      <c r="H127" s="512"/>
      <c r="I127" s="512"/>
      <c r="J127" s="512"/>
      <c r="K127" s="512"/>
      <c r="L127" s="512"/>
      <c r="M127" s="512">
        <v>4600</v>
      </c>
      <c r="N127" s="512"/>
    </row>
    <row r="128" spans="1:14" s="341" customFormat="1" ht="15">
      <c r="A128" s="519"/>
      <c r="B128" s="435"/>
      <c r="C128" s="453">
        <v>3250</v>
      </c>
      <c r="D128" s="511" t="s">
        <v>43</v>
      </c>
      <c r="E128" s="507">
        <f t="shared" si="18"/>
        <v>3000</v>
      </c>
      <c r="F128" s="512">
        <f t="shared" si="19"/>
        <v>3000</v>
      </c>
      <c r="G128" s="512"/>
      <c r="H128" s="512"/>
      <c r="I128" s="512"/>
      <c r="J128" s="512"/>
      <c r="K128" s="512"/>
      <c r="L128" s="512"/>
      <c r="M128" s="512">
        <v>3000</v>
      </c>
      <c r="N128" s="512"/>
    </row>
    <row r="129" spans="1:14" s="341" customFormat="1" ht="25.5">
      <c r="A129" s="519"/>
      <c r="B129" s="435"/>
      <c r="C129" s="516">
        <v>4010</v>
      </c>
      <c r="D129" s="511" t="s">
        <v>653</v>
      </c>
      <c r="E129" s="507">
        <f t="shared" si="18"/>
        <v>3347346</v>
      </c>
      <c r="F129" s="512">
        <f t="shared" si="19"/>
        <v>3347346</v>
      </c>
      <c r="G129" s="512">
        <v>3347346</v>
      </c>
      <c r="H129" s="512"/>
      <c r="I129" s="512"/>
      <c r="J129" s="512"/>
      <c r="K129" s="512"/>
      <c r="L129" s="512"/>
      <c r="M129" s="512"/>
      <c r="N129" s="512"/>
    </row>
    <row r="130" spans="1:14" s="341" customFormat="1" ht="25.5">
      <c r="A130" s="519"/>
      <c r="B130" s="435"/>
      <c r="C130" s="453">
        <v>4040</v>
      </c>
      <c r="D130" s="511" t="s">
        <v>654</v>
      </c>
      <c r="E130" s="507">
        <f t="shared" si="18"/>
        <v>249000</v>
      </c>
      <c r="F130" s="512">
        <f t="shared" si="19"/>
        <v>249000</v>
      </c>
      <c r="G130" s="512"/>
      <c r="H130" s="512">
        <v>249000</v>
      </c>
      <c r="I130" s="512"/>
      <c r="J130" s="512"/>
      <c r="K130" s="512"/>
      <c r="L130" s="512"/>
      <c r="M130" s="512"/>
      <c r="N130" s="512"/>
    </row>
    <row r="131" spans="1:14" s="341" customFormat="1" ht="25.5">
      <c r="A131" s="519"/>
      <c r="B131" s="435"/>
      <c r="C131" s="453">
        <v>4110</v>
      </c>
      <c r="D131" s="511" t="s">
        <v>655</v>
      </c>
      <c r="E131" s="507">
        <f t="shared" si="18"/>
        <v>508523</v>
      </c>
      <c r="F131" s="512">
        <f t="shared" si="19"/>
        <v>508523</v>
      </c>
      <c r="G131" s="512"/>
      <c r="H131" s="512"/>
      <c r="I131" s="526">
        <v>508523</v>
      </c>
      <c r="J131" s="512"/>
      <c r="K131" s="512"/>
      <c r="L131" s="512"/>
      <c r="M131" s="512"/>
      <c r="N131" s="512"/>
    </row>
    <row r="132" spans="1:14" s="341" customFormat="1" ht="15">
      <c r="A132" s="519"/>
      <c r="B132" s="435"/>
      <c r="C132" s="453">
        <v>4120</v>
      </c>
      <c r="D132" s="511" t="s">
        <v>656</v>
      </c>
      <c r="E132" s="507">
        <f t="shared" si="18"/>
        <v>82020</v>
      </c>
      <c r="F132" s="512">
        <f t="shared" si="19"/>
        <v>82020</v>
      </c>
      <c r="G132" s="512"/>
      <c r="H132" s="512"/>
      <c r="I132" s="526">
        <v>82020</v>
      </c>
      <c r="J132" s="512"/>
      <c r="K132" s="512"/>
      <c r="L132" s="512"/>
      <c r="M132" s="512"/>
      <c r="N132" s="512"/>
    </row>
    <row r="133" spans="1:14" s="341" customFormat="1" ht="15" hidden="1">
      <c r="A133" s="519"/>
      <c r="B133" s="435"/>
      <c r="C133" s="453">
        <v>4140</v>
      </c>
      <c r="D133" s="511" t="s">
        <v>359</v>
      </c>
      <c r="E133" s="507">
        <f t="shared" si="18"/>
        <v>0</v>
      </c>
      <c r="F133" s="512">
        <f t="shared" si="19"/>
        <v>0</v>
      </c>
      <c r="G133" s="512"/>
      <c r="H133" s="512"/>
      <c r="I133" s="512"/>
      <c r="J133" s="512"/>
      <c r="K133" s="512"/>
      <c r="L133" s="512"/>
      <c r="M133" s="512">
        <v>0</v>
      </c>
      <c r="N133" s="512"/>
    </row>
    <row r="134" spans="1:14" s="341" customFormat="1" ht="25.5">
      <c r="A134" s="519"/>
      <c r="B134" s="435"/>
      <c r="C134" s="453">
        <v>4170</v>
      </c>
      <c r="D134" s="511" t="s">
        <v>21</v>
      </c>
      <c r="E134" s="507">
        <f t="shared" si="18"/>
        <v>5400</v>
      </c>
      <c r="F134" s="512">
        <f t="shared" si="19"/>
        <v>5400</v>
      </c>
      <c r="G134" s="512"/>
      <c r="H134" s="512"/>
      <c r="I134" s="512"/>
      <c r="J134" s="512"/>
      <c r="K134" s="512"/>
      <c r="L134" s="512"/>
      <c r="M134" s="512">
        <v>5400</v>
      </c>
      <c r="N134" s="512"/>
    </row>
    <row r="135" spans="1:14" s="341" customFormat="1" ht="25.5">
      <c r="A135" s="519"/>
      <c r="B135" s="435"/>
      <c r="C135" s="453">
        <v>4210</v>
      </c>
      <c r="D135" s="511" t="s">
        <v>658</v>
      </c>
      <c r="E135" s="507">
        <f t="shared" si="18"/>
        <v>869000</v>
      </c>
      <c r="F135" s="512">
        <f t="shared" si="19"/>
        <v>869000</v>
      </c>
      <c r="G135" s="512"/>
      <c r="H135" s="512"/>
      <c r="I135" s="512"/>
      <c r="J135" s="512"/>
      <c r="K135" s="512"/>
      <c r="L135" s="512"/>
      <c r="M135" s="512">
        <v>869000</v>
      </c>
      <c r="N135" s="512"/>
    </row>
    <row r="136" spans="1:14" s="341" customFormat="1" ht="38.25">
      <c r="A136" s="519"/>
      <c r="B136" s="435"/>
      <c r="C136" s="453">
        <v>4230</v>
      </c>
      <c r="D136" s="511" t="s">
        <v>239</v>
      </c>
      <c r="E136" s="507">
        <f t="shared" si="18"/>
        <v>2000</v>
      </c>
      <c r="F136" s="512">
        <f t="shared" si="19"/>
        <v>2000</v>
      </c>
      <c r="G136" s="512"/>
      <c r="H136" s="512"/>
      <c r="I136" s="512"/>
      <c r="J136" s="512"/>
      <c r="K136" s="512"/>
      <c r="L136" s="512"/>
      <c r="M136" s="512">
        <v>2000</v>
      </c>
      <c r="N136" s="512"/>
    </row>
    <row r="137" spans="1:14" s="341" customFormat="1" ht="15">
      <c r="A137" s="519"/>
      <c r="B137" s="435"/>
      <c r="C137" s="453">
        <v>4260</v>
      </c>
      <c r="D137" s="511" t="s">
        <v>659</v>
      </c>
      <c r="E137" s="507">
        <f t="shared" si="18"/>
        <v>163000</v>
      </c>
      <c r="F137" s="512">
        <f t="shared" si="19"/>
        <v>163000</v>
      </c>
      <c r="G137" s="512"/>
      <c r="H137" s="512"/>
      <c r="I137" s="512"/>
      <c r="J137" s="512"/>
      <c r="K137" s="512"/>
      <c r="L137" s="512"/>
      <c r="M137" s="512">
        <v>163000</v>
      </c>
      <c r="N137" s="512"/>
    </row>
    <row r="138" spans="1:14" s="341" customFormat="1" ht="15">
      <c r="A138" s="435"/>
      <c r="B138" s="435"/>
      <c r="C138" s="453">
        <v>4270</v>
      </c>
      <c r="D138" s="511" t="s">
        <v>660</v>
      </c>
      <c r="E138" s="507">
        <f t="shared" si="18"/>
        <v>42000</v>
      </c>
      <c r="F138" s="512">
        <f t="shared" si="19"/>
        <v>42000</v>
      </c>
      <c r="G138" s="512"/>
      <c r="H138" s="512"/>
      <c r="I138" s="512"/>
      <c r="J138" s="512"/>
      <c r="K138" s="512"/>
      <c r="L138" s="512"/>
      <c r="M138" s="512">
        <v>42000</v>
      </c>
      <c r="N138" s="512"/>
    </row>
    <row r="139" spans="1:14" s="341" customFormat="1" ht="36.75" customHeight="1">
      <c r="A139" s="435"/>
      <c r="B139" s="435"/>
      <c r="C139" s="453">
        <v>4280</v>
      </c>
      <c r="D139" s="527" t="s">
        <v>661</v>
      </c>
      <c r="E139" s="507">
        <f t="shared" si="18"/>
        <v>2500</v>
      </c>
      <c r="F139" s="512">
        <f t="shared" si="19"/>
        <v>2500</v>
      </c>
      <c r="G139" s="512"/>
      <c r="H139" s="512"/>
      <c r="I139" s="512"/>
      <c r="J139" s="512"/>
      <c r="K139" s="512"/>
      <c r="L139" s="512"/>
      <c r="M139" s="512">
        <v>2500</v>
      </c>
      <c r="N139" s="512"/>
    </row>
    <row r="140" spans="1:14" s="341" customFormat="1" ht="15">
      <c r="A140" s="435"/>
      <c r="B140" s="435"/>
      <c r="C140" s="453">
        <v>4300</v>
      </c>
      <c r="D140" s="511" t="s">
        <v>641</v>
      </c>
      <c r="E140" s="507">
        <f aca="true" t="shared" si="26" ref="E140:E202">F140+N140</f>
        <v>581000</v>
      </c>
      <c r="F140" s="512">
        <f t="shared" si="19"/>
        <v>581000</v>
      </c>
      <c r="G140" s="512"/>
      <c r="H140" s="512"/>
      <c r="I140" s="512"/>
      <c r="J140" s="512"/>
      <c r="K140" s="512"/>
      <c r="L140" s="512"/>
      <c r="M140" s="512">
        <v>581000</v>
      </c>
      <c r="N140" s="512"/>
    </row>
    <row r="141" spans="1:14" s="341" customFormat="1" ht="25.5">
      <c r="A141" s="435"/>
      <c r="B141" s="435"/>
      <c r="C141" s="453">
        <v>4350</v>
      </c>
      <c r="D141" s="511" t="s">
        <v>662</v>
      </c>
      <c r="E141" s="507">
        <f t="shared" si="26"/>
        <v>17000</v>
      </c>
      <c r="F141" s="512">
        <f t="shared" si="19"/>
        <v>17000</v>
      </c>
      <c r="G141" s="512"/>
      <c r="H141" s="512"/>
      <c r="I141" s="512"/>
      <c r="J141" s="512"/>
      <c r="K141" s="512"/>
      <c r="L141" s="512"/>
      <c r="M141" s="512">
        <v>17000</v>
      </c>
      <c r="N141" s="512"/>
    </row>
    <row r="142" spans="1:14" s="341" customFormat="1" ht="38.25">
      <c r="A142" s="435"/>
      <c r="B142" s="435"/>
      <c r="C142" s="453">
        <v>4360</v>
      </c>
      <c r="D142" s="511" t="s">
        <v>208</v>
      </c>
      <c r="E142" s="507">
        <f t="shared" si="26"/>
        <v>26000</v>
      </c>
      <c r="F142" s="512">
        <f t="shared" si="19"/>
        <v>26000</v>
      </c>
      <c r="G142" s="512"/>
      <c r="H142" s="512"/>
      <c r="I142" s="512"/>
      <c r="J142" s="512"/>
      <c r="K142" s="512"/>
      <c r="L142" s="512"/>
      <c r="M142" s="512">
        <v>26000</v>
      </c>
      <c r="N142" s="512"/>
    </row>
    <row r="143" spans="1:14" s="341" customFormat="1" ht="38.25">
      <c r="A143" s="435"/>
      <c r="B143" s="435"/>
      <c r="C143" s="453">
        <v>4370</v>
      </c>
      <c r="D143" s="511" t="s">
        <v>209</v>
      </c>
      <c r="E143" s="507">
        <f t="shared" si="26"/>
        <v>54000</v>
      </c>
      <c r="F143" s="512">
        <f t="shared" si="19"/>
        <v>54000</v>
      </c>
      <c r="G143" s="512"/>
      <c r="H143" s="512"/>
      <c r="I143" s="512"/>
      <c r="J143" s="512"/>
      <c r="K143" s="512"/>
      <c r="L143" s="512"/>
      <c r="M143" s="512">
        <v>54000</v>
      </c>
      <c r="N143" s="512"/>
    </row>
    <row r="144" spans="1:14" s="341" customFormat="1" ht="38.25">
      <c r="A144" s="435"/>
      <c r="B144" s="435"/>
      <c r="C144" s="453">
        <v>4380</v>
      </c>
      <c r="D144" s="511" t="s">
        <v>207</v>
      </c>
      <c r="E144" s="507">
        <f t="shared" si="26"/>
        <v>4000</v>
      </c>
      <c r="F144" s="512">
        <f t="shared" si="19"/>
        <v>4000</v>
      </c>
      <c r="G144" s="512"/>
      <c r="H144" s="512"/>
      <c r="I144" s="512"/>
      <c r="J144" s="512"/>
      <c r="K144" s="512"/>
      <c r="L144" s="512"/>
      <c r="M144" s="512">
        <v>4000</v>
      </c>
      <c r="N144" s="512"/>
    </row>
    <row r="145" spans="1:14" s="341" customFormat="1" ht="51">
      <c r="A145" s="435"/>
      <c r="B145" s="435"/>
      <c r="C145" s="453">
        <v>4400</v>
      </c>
      <c r="D145" s="511" t="s">
        <v>362</v>
      </c>
      <c r="E145" s="507">
        <f t="shared" si="26"/>
        <v>666000</v>
      </c>
      <c r="F145" s="512">
        <f t="shared" si="19"/>
        <v>666000</v>
      </c>
      <c r="G145" s="512"/>
      <c r="H145" s="512"/>
      <c r="I145" s="512"/>
      <c r="J145" s="512"/>
      <c r="K145" s="512"/>
      <c r="L145" s="512"/>
      <c r="M145" s="512">
        <v>666000</v>
      </c>
      <c r="N145" s="512"/>
    </row>
    <row r="146" spans="1:14" s="341" customFormat="1" ht="15">
      <c r="A146" s="435"/>
      <c r="B146" s="435"/>
      <c r="C146" s="453">
        <v>4410</v>
      </c>
      <c r="D146" s="511" t="s">
        <v>667</v>
      </c>
      <c r="E146" s="507">
        <f t="shared" si="26"/>
        <v>23000</v>
      </c>
      <c r="F146" s="512">
        <f t="shared" si="19"/>
        <v>23000</v>
      </c>
      <c r="G146" s="512"/>
      <c r="H146" s="512"/>
      <c r="I146" s="512"/>
      <c r="J146" s="512"/>
      <c r="K146" s="512"/>
      <c r="L146" s="512"/>
      <c r="M146" s="512">
        <v>23000</v>
      </c>
      <c r="N146" s="512"/>
    </row>
    <row r="147" spans="1:14" s="341" customFormat="1" ht="25.5">
      <c r="A147" s="435"/>
      <c r="B147" s="435"/>
      <c r="C147" s="453">
        <v>4420</v>
      </c>
      <c r="D147" s="511" t="s">
        <v>358</v>
      </c>
      <c r="E147" s="507">
        <f t="shared" si="26"/>
        <v>4000</v>
      </c>
      <c r="F147" s="512">
        <f>SUM(G147:M147)</f>
        <v>4000</v>
      </c>
      <c r="G147" s="512"/>
      <c r="H147" s="512"/>
      <c r="I147" s="512"/>
      <c r="J147" s="512"/>
      <c r="K147" s="512"/>
      <c r="L147" s="512"/>
      <c r="M147" s="512">
        <v>4000</v>
      </c>
      <c r="N147" s="512"/>
    </row>
    <row r="148" spans="1:14" s="341" customFormat="1" ht="15">
      <c r="A148" s="435"/>
      <c r="B148" s="435"/>
      <c r="C148" s="453">
        <v>4430</v>
      </c>
      <c r="D148" s="511" t="s">
        <v>668</v>
      </c>
      <c r="E148" s="507">
        <f t="shared" si="26"/>
        <v>12000</v>
      </c>
      <c r="F148" s="512">
        <f t="shared" si="19"/>
        <v>12000</v>
      </c>
      <c r="G148" s="512"/>
      <c r="H148" s="512"/>
      <c r="I148" s="512"/>
      <c r="J148" s="512"/>
      <c r="K148" s="512"/>
      <c r="L148" s="512"/>
      <c r="M148" s="512">
        <v>12000</v>
      </c>
      <c r="N148" s="512"/>
    </row>
    <row r="149" spans="1:14" s="341" customFormat="1" ht="38.25">
      <c r="A149" s="435"/>
      <c r="B149" s="435"/>
      <c r="C149" s="453">
        <v>4440</v>
      </c>
      <c r="D149" s="511" t="s">
        <v>669</v>
      </c>
      <c r="E149" s="507">
        <f t="shared" si="26"/>
        <v>85600</v>
      </c>
      <c r="F149" s="512">
        <f t="shared" si="19"/>
        <v>85600</v>
      </c>
      <c r="G149" s="512"/>
      <c r="H149" s="512"/>
      <c r="I149" s="512"/>
      <c r="J149" s="512"/>
      <c r="K149" s="512"/>
      <c r="L149" s="512"/>
      <c r="M149" s="512">
        <v>85600</v>
      </c>
      <c r="N149" s="512"/>
    </row>
    <row r="150" spans="1:14" s="341" customFormat="1" ht="25.5">
      <c r="A150" s="435"/>
      <c r="B150" s="435"/>
      <c r="C150" s="453">
        <v>4510</v>
      </c>
      <c r="D150" s="511" t="s">
        <v>246</v>
      </c>
      <c r="E150" s="507">
        <f t="shared" si="26"/>
        <v>1000</v>
      </c>
      <c r="F150" s="512">
        <f>SUM(G150:M150)</f>
        <v>1000</v>
      </c>
      <c r="G150" s="512"/>
      <c r="H150" s="512"/>
      <c r="I150" s="512"/>
      <c r="J150" s="512"/>
      <c r="K150" s="512"/>
      <c r="L150" s="512"/>
      <c r="M150" s="512">
        <v>1000</v>
      </c>
      <c r="N150" s="512"/>
    </row>
    <row r="151" spans="1:14" s="341" customFormat="1" ht="38.25">
      <c r="A151" s="435"/>
      <c r="B151" s="435"/>
      <c r="C151" s="453">
        <v>4610</v>
      </c>
      <c r="D151" s="511" t="s">
        <v>36</v>
      </c>
      <c r="E151" s="507">
        <f>F151+N151</f>
        <v>500</v>
      </c>
      <c r="F151" s="512">
        <f>SUM(G151:M151)</f>
        <v>500</v>
      </c>
      <c r="G151" s="512"/>
      <c r="H151" s="512"/>
      <c r="I151" s="512"/>
      <c r="J151" s="512"/>
      <c r="K151" s="512"/>
      <c r="L151" s="512"/>
      <c r="M151" s="512">
        <v>500</v>
      </c>
      <c r="N151" s="512"/>
    </row>
    <row r="152" spans="1:14" s="341" customFormat="1" ht="38.25">
      <c r="A152" s="435"/>
      <c r="B152" s="435"/>
      <c r="C152" s="453">
        <v>4700</v>
      </c>
      <c r="D152" s="511" t="s">
        <v>210</v>
      </c>
      <c r="E152" s="507">
        <f t="shared" si="26"/>
        <v>25000</v>
      </c>
      <c r="F152" s="512">
        <f t="shared" si="19"/>
        <v>25000</v>
      </c>
      <c r="G152" s="512"/>
      <c r="H152" s="512"/>
      <c r="I152" s="512"/>
      <c r="J152" s="512"/>
      <c r="K152" s="512"/>
      <c r="L152" s="512"/>
      <c r="M152" s="512">
        <v>25000</v>
      </c>
      <c r="N152" s="512"/>
    </row>
    <row r="153" spans="1:14" s="341" customFormat="1" ht="51">
      <c r="A153" s="435"/>
      <c r="B153" s="435"/>
      <c r="C153" s="453">
        <v>4740</v>
      </c>
      <c r="D153" s="511" t="s">
        <v>24</v>
      </c>
      <c r="E153" s="507">
        <f t="shared" si="26"/>
        <v>16000</v>
      </c>
      <c r="F153" s="512">
        <f t="shared" si="19"/>
        <v>16000</v>
      </c>
      <c r="G153" s="512"/>
      <c r="H153" s="512"/>
      <c r="I153" s="512"/>
      <c r="J153" s="512"/>
      <c r="K153" s="512"/>
      <c r="L153" s="512"/>
      <c r="M153" s="512">
        <v>16000</v>
      </c>
      <c r="N153" s="512"/>
    </row>
    <row r="154" spans="1:14" s="341" customFormat="1" ht="45" customHeight="1">
      <c r="A154" s="435"/>
      <c r="B154" s="435"/>
      <c r="C154" s="453">
        <v>4750</v>
      </c>
      <c r="D154" s="511" t="s">
        <v>25</v>
      </c>
      <c r="E154" s="507">
        <f t="shared" si="26"/>
        <v>86000</v>
      </c>
      <c r="F154" s="512">
        <f t="shared" si="19"/>
        <v>86000</v>
      </c>
      <c r="G154" s="512"/>
      <c r="H154" s="512"/>
      <c r="I154" s="512"/>
      <c r="J154" s="512"/>
      <c r="K154" s="512"/>
      <c r="L154" s="512"/>
      <c r="M154" s="512">
        <v>86000</v>
      </c>
      <c r="N154" s="512"/>
    </row>
    <row r="155" spans="1:14" s="341" customFormat="1" ht="25.5">
      <c r="A155" s="435"/>
      <c r="B155" s="435"/>
      <c r="C155" s="453">
        <v>6050</v>
      </c>
      <c r="D155" s="517" t="s">
        <v>45</v>
      </c>
      <c r="E155" s="507">
        <f t="shared" si="26"/>
        <v>155000</v>
      </c>
      <c r="F155" s="512">
        <f t="shared" si="19"/>
        <v>0</v>
      </c>
      <c r="G155" s="512"/>
      <c r="H155" s="512"/>
      <c r="I155" s="512"/>
      <c r="J155" s="512"/>
      <c r="K155" s="512"/>
      <c r="L155" s="512"/>
      <c r="M155" s="512"/>
      <c r="N155" s="512">
        <v>155000</v>
      </c>
    </row>
    <row r="156" spans="1:14" s="341" customFormat="1" ht="38.25">
      <c r="A156" s="435"/>
      <c r="B156" s="435"/>
      <c r="C156" s="453">
        <v>6060</v>
      </c>
      <c r="D156" s="517" t="s">
        <v>212</v>
      </c>
      <c r="E156" s="507">
        <f t="shared" si="26"/>
        <v>51000</v>
      </c>
      <c r="F156" s="512">
        <f t="shared" si="19"/>
        <v>0</v>
      </c>
      <c r="G156" s="512"/>
      <c r="H156" s="512"/>
      <c r="I156" s="512"/>
      <c r="J156" s="512"/>
      <c r="K156" s="512"/>
      <c r="L156" s="512"/>
      <c r="M156" s="512"/>
      <c r="N156" s="512">
        <v>51000</v>
      </c>
    </row>
    <row r="157" spans="1:14" s="343" customFormat="1" ht="15.75">
      <c r="A157" s="442"/>
      <c r="B157" s="442">
        <v>75045</v>
      </c>
      <c r="C157" s="443"/>
      <c r="D157" s="444" t="s">
        <v>13</v>
      </c>
      <c r="E157" s="507">
        <f t="shared" si="26"/>
        <v>66100</v>
      </c>
      <c r="F157" s="510">
        <f t="shared" si="19"/>
        <v>66100</v>
      </c>
      <c r="G157" s="510">
        <f>SUM(G158:G171)</f>
        <v>0</v>
      </c>
      <c r="H157" s="510">
        <f aca="true" t="shared" si="27" ref="H157:N157">SUM(H158:H171)</f>
        <v>0</v>
      </c>
      <c r="I157" s="510">
        <f t="shared" si="27"/>
        <v>900</v>
      </c>
      <c r="J157" s="510">
        <f t="shared" si="27"/>
        <v>0</v>
      </c>
      <c r="K157" s="510">
        <f t="shared" si="27"/>
        <v>0</v>
      </c>
      <c r="L157" s="510">
        <f t="shared" si="27"/>
        <v>0</v>
      </c>
      <c r="M157" s="510">
        <f t="shared" si="27"/>
        <v>65200</v>
      </c>
      <c r="N157" s="510">
        <f t="shared" si="27"/>
        <v>0</v>
      </c>
    </row>
    <row r="158" spans="1:14" s="341" customFormat="1" ht="25.5">
      <c r="A158" s="435"/>
      <c r="B158" s="435"/>
      <c r="C158" s="453">
        <v>3030</v>
      </c>
      <c r="D158" s="511" t="s">
        <v>31</v>
      </c>
      <c r="E158" s="507">
        <f t="shared" si="26"/>
        <v>11000</v>
      </c>
      <c r="F158" s="512">
        <f t="shared" si="19"/>
        <v>11000</v>
      </c>
      <c r="G158" s="512"/>
      <c r="H158" s="512"/>
      <c r="I158" s="512"/>
      <c r="J158" s="512"/>
      <c r="K158" s="512"/>
      <c r="L158" s="512"/>
      <c r="M158" s="512">
        <v>11000</v>
      </c>
      <c r="N158" s="512"/>
    </row>
    <row r="159" spans="1:14" s="341" customFormat="1" ht="25.5">
      <c r="A159" s="435"/>
      <c r="B159" s="435"/>
      <c r="C159" s="453">
        <v>4110</v>
      </c>
      <c r="D159" s="511" t="s">
        <v>655</v>
      </c>
      <c r="E159" s="507">
        <f t="shared" si="26"/>
        <v>800</v>
      </c>
      <c r="F159" s="512">
        <f t="shared" si="19"/>
        <v>800</v>
      </c>
      <c r="G159" s="512"/>
      <c r="H159" s="512"/>
      <c r="I159" s="512">
        <v>800</v>
      </c>
      <c r="J159" s="512"/>
      <c r="K159" s="512"/>
      <c r="L159" s="512"/>
      <c r="M159" s="512"/>
      <c r="N159" s="512"/>
    </row>
    <row r="160" spans="1:14" s="341" customFormat="1" ht="36" customHeight="1">
      <c r="A160" s="435"/>
      <c r="B160" s="435"/>
      <c r="C160" s="453">
        <v>4170</v>
      </c>
      <c r="D160" s="511" t="s">
        <v>21</v>
      </c>
      <c r="E160" s="507">
        <f t="shared" si="26"/>
        <v>4800</v>
      </c>
      <c r="F160" s="512">
        <f t="shared" si="19"/>
        <v>4800</v>
      </c>
      <c r="G160" s="512"/>
      <c r="H160" s="512"/>
      <c r="I160" s="512"/>
      <c r="J160" s="512"/>
      <c r="K160" s="512"/>
      <c r="L160" s="512"/>
      <c r="M160" s="512">
        <v>4800</v>
      </c>
      <c r="N160" s="512"/>
    </row>
    <row r="161" spans="1:14" s="341" customFormat="1" ht="15">
      <c r="A161" s="435"/>
      <c r="B161" s="435"/>
      <c r="C161" s="453">
        <v>4120</v>
      </c>
      <c r="D161" s="511" t="s">
        <v>656</v>
      </c>
      <c r="E161" s="507">
        <f t="shared" si="26"/>
        <v>100</v>
      </c>
      <c r="F161" s="512">
        <f t="shared" si="19"/>
        <v>100</v>
      </c>
      <c r="G161" s="512"/>
      <c r="H161" s="512"/>
      <c r="I161" s="512">
        <v>100</v>
      </c>
      <c r="J161" s="512"/>
      <c r="K161" s="512"/>
      <c r="L161" s="512"/>
      <c r="M161" s="512"/>
      <c r="N161" s="512"/>
    </row>
    <row r="162" spans="1:14" s="341" customFormat="1" ht="25.5">
      <c r="A162" s="435"/>
      <c r="B162" s="435"/>
      <c r="C162" s="453">
        <v>4210</v>
      </c>
      <c r="D162" s="511" t="s">
        <v>658</v>
      </c>
      <c r="E162" s="507">
        <f t="shared" si="26"/>
        <v>14600</v>
      </c>
      <c r="F162" s="512">
        <f t="shared" si="19"/>
        <v>14600</v>
      </c>
      <c r="G162" s="512"/>
      <c r="H162" s="512"/>
      <c r="I162" s="512"/>
      <c r="J162" s="512"/>
      <c r="K162" s="512"/>
      <c r="L162" s="512"/>
      <c r="M162" s="512">
        <v>14600</v>
      </c>
      <c r="N162" s="512"/>
    </row>
    <row r="163" spans="1:14" s="341" customFormat="1" ht="38.25">
      <c r="A163" s="435"/>
      <c r="B163" s="435"/>
      <c r="C163" s="453">
        <v>4230</v>
      </c>
      <c r="D163" s="511" t="s">
        <v>360</v>
      </c>
      <c r="E163" s="507">
        <f t="shared" si="26"/>
        <v>300</v>
      </c>
      <c r="F163" s="512">
        <f t="shared" si="19"/>
        <v>300</v>
      </c>
      <c r="G163" s="512"/>
      <c r="H163" s="512"/>
      <c r="I163" s="512"/>
      <c r="J163" s="512"/>
      <c r="K163" s="512"/>
      <c r="L163" s="512"/>
      <c r="M163" s="512">
        <v>300</v>
      </c>
      <c r="N163" s="512"/>
    </row>
    <row r="164" spans="1:14" s="341" customFormat="1" ht="15">
      <c r="A164" s="435"/>
      <c r="B164" s="435"/>
      <c r="C164" s="453">
        <v>4270</v>
      </c>
      <c r="D164" s="511" t="s">
        <v>660</v>
      </c>
      <c r="E164" s="507">
        <f t="shared" si="26"/>
        <v>800</v>
      </c>
      <c r="F164" s="512">
        <f t="shared" si="19"/>
        <v>800</v>
      </c>
      <c r="G164" s="512"/>
      <c r="H164" s="512"/>
      <c r="I164" s="512"/>
      <c r="J164" s="512"/>
      <c r="K164" s="512"/>
      <c r="L164" s="512"/>
      <c r="M164" s="512">
        <v>800</v>
      </c>
      <c r="N164" s="512"/>
    </row>
    <row r="165" spans="1:14" s="341" customFormat="1" ht="37.5" customHeight="1">
      <c r="A165" s="435"/>
      <c r="B165" s="435"/>
      <c r="C165" s="453">
        <v>4280</v>
      </c>
      <c r="D165" s="511" t="s">
        <v>22</v>
      </c>
      <c r="E165" s="507">
        <f t="shared" si="26"/>
        <v>28600</v>
      </c>
      <c r="F165" s="512">
        <f t="shared" si="19"/>
        <v>28600</v>
      </c>
      <c r="G165" s="512"/>
      <c r="H165" s="512"/>
      <c r="I165" s="512"/>
      <c r="J165" s="512"/>
      <c r="K165" s="512"/>
      <c r="L165" s="512"/>
      <c r="M165" s="512">
        <v>28600</v>
      </c>
      <c r="N165" s="512"/>
    </row>
    <row r="166" spans="1:14" s="341" customFormat="1" ht="61.5" customHeight="1">
      <c r="A166" s="435"/>
      <c r="B166" s="435"/>
      <c r="C166" s="453">
        <v>4400</v>
      </c>
      <c r="D166" s="511" t="s">
        <v>362</v>
      </c>
      <c r="E166" s="507">
        <f t="shared" si="26"/>
        <v>4200</v>
      </c>
      <c r="F166" s="512">
        <f t="shared" si="19"/>
        <v>4200</v>
      </c>
      <c r="G166" s="512"/>
      <c r="H166" s="512"/>
      <c r="I166" s="512"/>
      <c r="J166" s="512"/>
      <c r="K166" s="512"/>
      <c r="L166" s="512"/>
      <c r="M166" s="512">
        <v>4200</v>
      </c>
      <c r="N166" s="512"/>
    </row>
    <row r="167" spans="1:14" s="341" customFormat="1" ht="15">
      <c r="A167" s="435"/>
      <c r="B167" s="435"/>
      <c r="C167" s="453">
        <v>4300</v>
      </c>
      <c r="D167" s="511" t="s">
        <v>641</v>
      </c>
      <c r="E167" s="507">
        <f t="shared" si="26"/>
        <v>600</v>
      </c>
      <c r="F167" s="512">
        <f>SUM(G167:M167)</f>
        <v>600</v>
      </c>
      <c r="G167" s="512"/>
      <c r="H167" s="512"/>
      <c r="I167" s="512"/>
      <c r="J167" s="512"/>
      <c r="K167" s="512"/>
      <c r="L167" s="512"/>
      <c r="M167" s="512">
        <v>600</v>
      </c>
      <c r="N167" s="512"/>
    </row>
    <row r="168" spans="1:14" s="341" customFormat="1" ht="38.25">
      <c r="A168" s="435"/>
      <c r="B168" s="435"/>
      <c r="C168" s="453">
        <v>4370</v>
      </c>
      <c r="D168" s="511" t="s">
        <v>213</v>
      </c>
      <c r="E168" s="507">
        <f t="shared" si="26"/>
        <v>300</v>
      </c>
      <c r="F168" s="512">
        <f>SUM(G168:M168)</f>
        <v>300</v>
      </c>
      <c r="G168" s="512"/>
      <c r="H168" s="512"/>
      <c r="I168" s="512"/>
      <c r="J168" s="512"/>
      <c r="K168" s="512"/>
      <c r="L168" s="512"/>
      <c r="M168" s="512">
        <v>300</v>
      </c>
      <c r="N168" s="512"/>
    </row>
    <row r="169" spans="1:14" s="341" customFormat="1" ht="15" hidden="1">
      <c r="A169" s="435"/>
      <c r="B169" s="435"/>
      <c r="C169" s="453">
        <v>4410</v>
      </c>
      <c r="D169" s="511" t="s">
        <v>667</v>
      </c>
      <c r="E169" s="507">
        <f t="shared" si="26"/>
        <v>0</v>
      </c>
      <c r="F169" s="512">
        <f>SUM(G169:M169)</f>
        <v>0</v>
      </c>
      <c r="G169" s="512"/>
      <c r="H169" s="512"/>
      <c r="I169" s="512"/>
      <c r="J169" s="512"/>
      <c r="K169" s="512"/>
      <c r="L169" s="512"/>
      <c r="M169" s="512">
        <v>0</v>
      </c>
      <c r="N169" s="512"/>
    </row>
    <row r="170" spans="1:14" s="341" customFormat="1" ht="38.25" hidden="1">
      <c r="A170" s="435"/>
      <c r="B170" s="435"/>
      <c r="C170" s="453">
        <v>4750</v>
      </c>
      <c r="D170" s="511" t="s">
        <v>25</v>
      </c>
      <c r="E170" s="507">
        <f t="shared" si="26"/>
        <v>0</v>
      </c>
      <c r="F170" s="512">
        <f>SUM(G170:M170)</f>
        <v>0</v>
      </c>
      <c r="G170" s="512"/>
      <c r="H170" s="512"/>
      <c r="I170" s="512"/>
      <c r="J170" s="512"/>
      <c r="K170" s="512"/>
      <c r="L170" s="512"/>
      <c r="M170" s="512"/>
      <c r="N170" s="512"/>
    </row>
    <row r="171" spans="1:14" s="341" customFormat="1" ht="51" hidden="1">
      <c r="A171" s="435"/>
      <c r="B171" s="435"/>
      <c r="C171" s="453">
        <v>4740</v>
      </c>
      <c r="D171" s="511" t="s">
        <v>24</v>
      </c>
      <c r="E171" s="507">
        <f t="shared" si="26"/>
        <v>0</v>
      </c>
      <c r="F171" s="512">
        <f>SUM(G171:M171)</f>
        <v>0</v>
      </c>
      <c r="G171" s="512"/>
      <c r="H171" s="512"/>
      <c r="I171" s="512"/>
      <c r="J171" s="512"/>
      <c r="K171" s="512"/>
      <c r="L171" s="512"/>
      <c r="M171" s="512"/>
      <c r="N171" s="512"/>
    </row>
    <row r="172" spans="1:14" s="343" customFormat="1" ht="38.25">
      <c r="A172" s="442"/>
      <c r="B172" s="442">
        <v>75075</v>
      </c>
      <c r="C172" s="443"/>
      <c r="D172" s="444" t="s">
        <v>46</v>
      </c>
      <c r="E172" s="507">
        <f t="shared" si="26"/>
        <v>58000</v>
      </c>
      <c r="F172" s="510">
        <f aca="true" t="shared" si="28" ref="F172:F177">SUM(G172:M172)</f>
        <v>58000</v>
      </c>
      <c r="G172" s="510">
        <f aca="true" t="shared" si="29" ref="G172:N172">SUM(G173:G174)</f>
        <v>0</v>
      </c>
      <c r="H172" s="510">
        <f t="shared" si="29"/>
        <v>0</v>
      </c>
      <c r="I172" s="510">
        <f t="shared" si="29"/>
        <v>0</v>
      </c>
      <c r="J172" s="510">
        <f t="shared" si="29"/>
        <v>0</v>
      </c>
      <c r="K172" s="510">
        <f t="shared" si="29"/>
        <v>0</v>
      </c>
      <c r="L172" s="510">
        <f t="shared" si="29"/>
        <v>0</v>
      </c>
      <c r="M172" s="510">
        <f t="shared" si="29"/>
        <v>58000</v>
      </c>
      <c r="N172" s="510">
        <f t="shared" si="29"/>
        <v>0</v>
      </c>
    </row>
    <row r="173" spans="1:14" s="341" customFormat="1" ht="25.5">
      <c r="A173" s="435"/>
      <c r="B173" s="435"/>
      <c r="C173" s="453">
        <v>4210</v>
      </c>
      <c r="D173" s="511" t="s">
        <v>658</v>
      </c>
      <c r="E173" s="507">
        <f t="shared" si="26"/>
        <v>9000</v>
      </c>
      <c r="F173" s="512">
        <f t="shared" si="28"/>
        <v>9000</v>
      </c>
      <c r="G173" s="512"/>
      <c r="H173" s="512"/>
      <c r="I173" s="512"/>
      <c r="J173" s="512"/>
      <c r="K173" s="512"/>
      <c r="L173" s="512"/>
      <c r="M173" s="512">
        <v>9000</v>
      </c>
      <c r="N173" s="512"/>
    </row>
    <row r="174" spans="1:14" s="341" customFormat="1" ht="15">
      <c r="A174" s="435"/>
      <c r="B174" s="435"/>
      <c r="C174" s="453">
        <v>4300</v>
      </c>
      <c r="D174" s="511" t="s">
        <v>641</v>
      </c>
      <c r="E174" s="507">
        <f t="shared" si="26"/>
        <v>49000</v>
      </c>
      <c r="F174" s="512">
        <f t="shared" si="28"/>
        <v>49000</v>
      </c>
      <c r="G174" s="512"/>
      <c r="H174" s="512"/>
      <c r="I174" s="512"/>
      <c r="J174" s="512"/>
      <c r="K174" s="512"/>
      <c r="L174" s="512"/>
      <c r="M174" s="512">
        <v>49000</v>
      </c>
      <c r="N174" s="512"/>
    </row>
    <row r="175" spans="1:14" s="342" customFormat="1" ht="15.75">
      <c r="A175" s="435">
        <v>752</v>
      </c>
      <c r="B175" s="435"/>
      <c r="C175" s="436"/>
      <c r="D175" s="436" t="s">
        <v>279</v>
      </c>
      <c r="E175" s="507">
        <f t="shared" si="26"/>
        <v>3000</v>
      </c>
      <c r="F175" s="508">
        <f t="shared" si="28"/>
        <v>3000</v>
      </c>
      <c r="G175" s="508">
        <f>SUM(G176)</f>
        <v>0</v>
      </c>
      <c r="H175" s="508">
        <f aca="true" t="shared" si="30" ref="H175:N175">SUM(H176)</f>
        <v>0</v>
      </c>
      <c r="I175" s="508">
        <f t="shared" si="30"/>
        <v>0</v>
      </c>
      <c r="J175" s="508">
        <f t="shared" si="30"/>
        <v>0</v>
      </c>
      <c r="K175" s="508">
        <f t="shared" si="30"/>
        <v>0</v>
      </c>
      <c r="L175" s="508">
        <f t="shared" si="30"/>
        <v>0</v>
      </c>
      <c r="M175" s="508">
        <f t="shared" si="30"/>
        <v>3000</v>
      </c>
      <c r="N175" s="508">
        <f t="shared" si="30"/>
        <v>0</v>
      </c>
    </row>
    <row r="176" spans="1:14" s="343" customFormat="1" ht="25.5">
      <c r="A176" s="435"/>
      <c r="B176" s="442">
        <v>75212</v>
      </c>
      <c r="C176" s="443"/>
      <c r="D176" s="444" t="s">
        <v>275</v>
      </c>
      <c r="E176" s="507">
        <f t="shared" si="26"/>
        <v>3000</v>
      </c>
      <c r="F176" s="510">
        <f t="shared" si="28"/>
        <v>3000</v>
      </c>
      <c r="G176" s="510">
        <f aca="true" t="shared" si="31" ref="G176:N176">SUM(G177:G177)</f>
        <v>0</v>
      </c>
      <c r="H176" s="510">
        <f t="shared" si="31"/>
        <v>0</v>
      </c>
      <c r="I176" s="510">
        <f t="shared" si="31"/>
        <v>0</v>
      </c>
      <c r="J176" s="510">
        <f t="shared" si="31"/>
        <v>0</v>
      </c>
      <c r="K176" s="510">
        <f t="shared" si="31"/>
        <v>0</v>
      </c>
      <c r="L176" s="510">
        <f t="shared" si="31"/>
        <v>0</v>
      </c>
      <c r="M176" s="510">
        <f t="shared" si="31"/>
        <v>3000</v>
      </c>
      <c r="N176" s="510">
        <f t="shared" si="31"/>
        <v>0</v>
      </c>
    </row>
    <row r="177" spans="1:14" s="341" customFormat="1" ht="49.5" customHeight="1">
      <c r="A177" s="435"/>
      <c r="B177" s="435"/>
      <c r="C177" s="453">
        <v>4700</v>
      </c>
      <c r="D177" s="511" t="s">
        <v>210</v>
      </c>
      <c r="E177" s="507">
        <f t="shared" si="26"/>
        <v>3000</v>
      </c>
      <c r="F177" s="512">
        <f t="shared" si="28"/>
        <v>3000</v>
      </c>
      <c r="G177" s="512"/>
      <c r="H177" s="512"/>
      <c r="I177" s="512"/>
      <c r="J177" s="512"/>
      <c r="K177" s="512"/>
      <c r="L177" s="512"/>
      <c r="M177" s="512">
        <v>3000</v>
      </c>
      <c r="N177" s="512"/>
    </row>
    <row r="178" spans="1:14" s="341" customFormat="1" ht="49.5" customHeight="1" hidden="1">
      <c r="A178" s="435"/>
      <c r="B178" s="435"/>
      <c r="C178" s="453">
        <v>4170</v>
      </c>
      <c r="D178" s="511" t="s">
        <v>432</v>
      </c>
      <c r="E178" s="507">
        <f t="shared" si="26"/>
        <v>0</v>
      </c>
      <c r="F178" s="512"/>
      <c r="G178" s="512"/>
      <c r="H178" s="512"/>
      <c r="I178" s="512"/>
      <c r="J178" s="512"/>
      <c r="K178" s="512"/>
      <c r="L178" s="512"/>
      <c r="M178" s="512"/>
      <c r="N178" s="512"/>
    </row>
    <row r="179" spans="1:14" s="341" customFormat="1" ht="49.5" customHeight="1" hidden="1">
      <c r="A179" s="435"/>
      <c r="B179" s="435"/>
      <c r="C179" s="453">
        <v>4400</v>
      </c>
      <c r="D179" s="511" t="s">
        <v>362</v>
      </c>
      <c r="E179" s="507">
        <f t="shared" si="26"/>
        <v>0</v>
      </c>
      <c r="F179" s="512"/>
      <c r="G179" s="512"/>
      <c r="H179" s="512"/>
      <c r="I179" s="512"/>
      <c r="J179" s="512"/>
      <c r="K179" s="512"/>
      <c r="L179" s="512"/>
      <c r="M179" s="512"/>
      <c r="N179" s="512"/>
    </row>
    <row r="180" spans="1:14" s="341" customFormat="1" ht="49.5" customHeight="1" hidden="1">
      <c r="A180" s="435"/>
      <c r="B180" s="435"/>
      <c r="C180" s="453">
        <v>4300</v>
      </c>
      <c r="D180" s="511" t="s">
        <v>641</v>
      </c>
      <c r="E180" s="507">
        <f t="shared" si="26"/>
        <v>0</v>
      </c>
      <c r="F180" s="512"/>
      <c r="G180" s="512"/>
      <c r="H180" s="512"/>
      <c r="I180" s="512"/>
      <c r="J180" s="512"/>
      <c r="K180" s="512"/>
      <c r="L180" s="512"/>
      <c r="M180" s="512"/>
      <c r="N180" s="512"/>
    </row>
    <row r="181" spans="1:14" s="342" customFormat="1" ht="38.25">
      <c r="A181" s="435">
        <v>754</v>
      </c>
      <c r="B181" s="435"/>
      <c r="C181" s="436"/>
      <c r="D181" s="437" t="s">
        <v>47</v>
      </c>
      <c r="E181" s="507">
        <f t="shared" si="26"/>
        <v>84600</v>
      </c>
      <c r="F181" s="508">
        <f aca="true" t="shared" si="32" ref="F181:F195">SUM(G181:M181)</f>
        <v>84600</v>
      </c>
      <c r="G181" s="508">
        <f>SUM(G182+G188+G186+G184)</f>
        <v>0</v>
      </c>
      <c r="H181" s="508">
        <f>SUM(H182+H188+H186+H184)</f>
        <v>0</v>
      </c>
      <c r="I181" s="508">
        <f aca="true" t="shared" si="33" ref="I181:N181">SUM(I182+I188+I186+I184)</f>
        <v>0</v>
      </c>
      <c r="J181" s="508">
        <f t="shared" si="33"/>
        <v>65600</v>
      </c>
      <c r="K181" s="508">
        <f t="shared" si="33"/>
        <v>0</v>
      </c>
      <c r="L181" s="508">
        <f t="shared" si="33"/>
        <v>0</v>
      </c>
      <c r="M181" s="508">
        <f t="shared" si="33"/>
        <v>19000</v>
      </c>
      <c r="N181" s="508">
        <f t="shared" si="33"/>
        <v>0</v>
      </c>
    </row>
    <row r="182" spans="1:14" s="343" customFormat="1" ht="25.5">
      <c r="A182" s="435"/>
      <c r="B182" s="442">
        <v>75404</v>
      </c>
      <c r="C182" s="443"/>
      <c r="D182" s="444" t="s">
        <v>48</v>
      </c>
      <c r="E182" s="507">
        <f t="shared" si="26"/>
        <v>12000</v>
      </c>
      <c r="F182" s="510">
        <f t="shared" si="32"/>
        <v>12000</v>
      </c>
      <c r="G182" s="510">
        <f aca="true" t="shared" si="34" ref="G182:N184">SUM(G183:G183)</f>
        <v>0</v>
      </c>
      <c r="H182" s="510">
        <f t="shared" si="34"/>
        <v>0</v>
      </c>
      <c r="I182" s="510">
        <f t="shared" si="34"/>
        <v>0</v>
      </c>
      <c r="J182" s="510">
        <f t="shared" si="34"/>
        <v>0</v>
      </c>
      <c r="K182" s="510">
        <f t="shared" si="34"/>
        <v>0</v>
      </c>
      <c r="L182" s="510">
        <f t="shared" si="34"/>
        <v>0</v>
      </c>
      <c r="M182" s="510">
        <f t="shared" si="34"/>
        <v>12000</v>
      </c>
      <c r="N182" s="510">
        <f t="shared" si="34"/>
        <v>0</v>
      </c>
    </row>
    <row r="183" spans="1:14" s="341" customFormat="1" ht="25.5">
      <c r="A183" s="435"/>
      <c r="B183" s="435"/>
      <c r="C183" s="453">
        <v>4210</v>
      </c>
      <c r="D183" s="511" t="s">
        <v>658</v>
      </c>
      <c r="E183" s="507">
        <f t="shared" si="26"/>
        <v>12000</v>
      </c>
      <c r="F183" s="512">
        <f t="shared" si="32"/>
        <v>12000</v>
      </c>
      <c r="G183" s="512"/>
      <c r="H183" s="512"/>
      <c r="I183" s="512"/>
      <c r="J183" s="512"/>
      <c r="K183" s="512"/>
      <c r="L183" s="512"/>
      <c r="M183" s="512">
        <v>12000</v>
      </c>
      <c r="N183" s="512"/>
    </row>
    <row r="184" spans="1:14" s="343" customFormat="1" ht="25.5">
      <c r="A184" s="435"/>
      <c r="B184" s="442">
        <v>75405</v>
      </c>
      <c r="C184" s="443"/>
      <c r="D184" s="444" t="s">
        <v>324</v>
      </c>
      <c r="E184" s="507">
        <f t="shared" si="26"/>
        <v>2000</v>
      </c>
      <c r="F184" s="510">
        <f t="shared" si="32"/>
        <v>2000</v>
      </c>
      <c r="G184" s="510">
        <f t="shared" si="34"/>
        <v>0</v>
      </c>
      <c r="H184" s="510">
        <f t="shared" si="34"/>
        <v>0</v>
      </c>
      <c r="I184" s="510">
        <f t="shared" si="34"/>
        <v>0</v>
      </c>
      <c r="J184" s="510">
        <f t="shared" si="34"/>
        <v>0</v>
      </c>
      <c r="K184" s="510">
        <f t="shared" si="34"/>
        <v>0</v>
      </c>
      <c r="L184" s="510">
        <f t="shared" si="34"/>
        <v>0</v>
      </c>
      <c r="M184" s="510">
        <f t="shared" si="34"/>
        <v>2000</v>
      </c>
      <c r="N184" s="510">
        <f t="shared" si="34"/>
        <v>0</v>
      </c>
    </row>
    <row r="185" spans="1:14" s="341" customFormat="1" ht="15">
      <c r="A185" s="435"/>
      <c r="B185" s="435"/>
      <c r="C185" s="453">
        <v>4300</v>
      </c>
      <c r="D185" s="511" t="s">
        <v>325</v>
      </c>
      <c r="E185" s="507">
        <f t="shared" si="26"/>
        <v>2000</v>
      </c>
      <c r="F185" s="512">
        <f t="shared" si="32"/>
        <v>2000</v>
      </c>
      <c r="G185" s="512"/>
      <c r="H185" s="512"/>
      <c r="I185" s="512"/>
      <c r="J185" s="512"/>
      <c r="K185" s="512"/>
      <c r="L185" s="512"/>
      <c r="M185" s="512">
        <v>2000</v>
      </c>
      <c r="N185" s="512"/>
    </row>
    <row r="186" spans="1:14" s="341" customFormat="1" ht="25.5">
      <c r="A186" s="435"/>
      <c r="B186" s="442">
        <v>75411</v>
      </c>
      <c r="C186" s="446"/>
      <c r="D186" s="444" t="s">
        <v>75</v>
      </c>
      <c r="E186" s="507">
        <f t="shared" si="26"/>
        <v>3000</v>
      </c>
      <c r="F186" s="510">
        <f t="shared" si="32"/>
        <v>3000</v>
      </c>
      <c r="G186" s="510">
        <f aca="true" t="shared" si="35" ref="G186:N186">G187</f>
        <v>0</v>
      </c>
      <c r="H186" s="510">
        <f t="shared" si="35"/>
        <v>0</v>
      </c>
      <c r="I186" s="510">
        <f t="shared" si="35"/>
        <v>0</v>
      </c>
      <c r="J186" s="510">
        <f t="shared" si="35"/>
        <v>0</v>
      </c>
      <c r="K186" s="510">
        <f t="shared" si="35"/>
        <v>0</v>
      </c>
      <c r="L186" s="510">
        <f t="shared" si="35"/>
        <v>0</v>
      </c>
      <c r="M186" s="510">
        <f t="shared" si="35"/>
        <v>3000</v>
      </c>
      <c r="N186" s="510">
        <f t="shared" si="35"/>
        <v>0</v>
      </c>
    </row>
    <row r="187" spans="1:14" s="341" customFormat="1" ht="25.5">
      <c r="A187" s="435"/>
      <c r="B187" s="435"/>
      <c r="C187" s="453">
        <v>4210</v>
      </c>
      <c r="D187" s="511" t="s">
        <v>658</v>
      </c>
      <c r="E187" s="507">
        <f t="shared" si="26"/>
        <v>3000</v>
      </c>
      <c r="F187" s="512">
        <f t="shared" si="32"/>
        <v>3000</v>
      </c>
      <c r="G187" s="512"/>
      <c r="H187" s="512"/>
      <c r="I187" s="512"/>
      <c r="J187" s="512"/>
      <c r="K187" s="512"/>
      <c r="L187" s="512"/>
      <c r="M187" s="512">
        <v>3000</v>
      </c>
      <c r="N187" s="512"/>
    </row>
    <row r="188" spans="1:14" s="343" customFormat="1" ht="15.75">
      <c r="A188" s="435"/>
      <c r="B188" s="442">
        <v>75495</v>
      </c>
      <c r="C188" s="443"/>
      <c r="D188" s="444" t="s">
        <v>49</v>
      </c>
      <c r="E188" s="507">
        <f t="shared" si="26"/>
        <v>67600</v>
      </c>
      <c r="F188" s="510">
        <f t="shared" si="32"/>
        <v>67600</v>
      </c>
      <c r="G188" s="510">
        <f>SUM(G189:G190)</f>
        <v>0</v>
      </c>
      <c r="H188" s="510">
        <f aca="true" t="shared" si="36" ref="H188:N188">SUM(H189:H190)</f>
        <v>0</v>
      </c>
      <c r="I188" s="510">
        <f t="shared" si="36"/>
        <v>0</v>
      </c>
      <c r="J188" s="510">
        <f t="shared" si="36"/>
        <v>65600</v>
      </c>
      <c r="K188" s="510">
        <f t="shared" si="36"/>
        <v>0</v>
      </c>
      <c r="L188" s="510">
        <f t="shared" si="36"/>
        <v>0</v>
      </c>
      <c r="M188" s="510">
        <f t="shared" si="36"/>
        <v>2000</v>
      </c>
      <c r="N188" s="510">
        <f t="shared" si="36"/>
        <v>0</v>
      </c>
    </row>
    <row r="189" spans="1:14" s="341" customFormat="1" ht="25.5">
      <c r="A189" s="435"/>
      <c r="B189" s="435"/>
      <c r="C189" s="453">
        <v>4210</v>
      </c>
      <c r="D189" s="511" t="s">
        <v>50</v>
      </c>
      <c r="E189" s="507">
        <f t="shared" si="26"/>
        <v>2000</v>
      </c>
      <c r="F189" s="512">
        <f t="shared" si="32"/>
        <v>2000</v>
      </c>
      <c r="G189" s="512"/>
      <c r="H189" s="512"/>
      <c r="I189" s="512"/>
      <c r="J189" s="512"/>
      <c r="K189" s="512"/>
      <c r="L189" s="512"/>
      <c r="M189" s="512">
        <v>2000</v>
      </c>
      <c r="N189" s="512"/>
    </row>
    <row r="190" spans="1:14" s="341" customFormat="1" ht="76.5">
      <c r="A190" s="435"/>
      <c r="B190" s="435"/>
      <c r="C190" s="453">
        <v>2320</v>
      </c>
      <c r="D190" s="511" t="s">
        <v>88</v>
      </c>
      <c r="E190" s="507">
        <f t="shared" si="26"/>
        <v>65600</v>
      </c>
      <c r="F190" s="512">
        <f t="shared" si="32"/>
        <v>65600</v>
      </c>
      <c r="G190" s="512"/>
      <c r="H190" s="512"/>
      <c r="I190" s="512"/>
      <c r="J190" s="512">
        <v>65600</v>
      </c>
      <c r="K190" s="512"/>
      <c r="L190" s="512"/>
      <c r="M190" s="512"/>
      <c r="N190" s="512"/>
    </row>
    <row r="191" spans="1:14" s="342" customFormat="1" ht="25.5">
      <c r="A191" s="435">
        <v>757</v>
      </c>
      <c r="B191" s="435"/>
      <c r="C191" s="436"/>
      <c r="D191" s="437" t="s">
        <v>51</v>
      </c>
      <c r="E191" s="507">
        <f t="shared" si="26"/>
        <v>764465</v>
      </c>
      <c r="F191" s="508">
        <f t="shared" si="32"/>
        <v>764465</v>
      </c>
      <c r="G191" s="508">
        <f>SUM(G192+G195)</f>
        <v>0</v>
      </c>
      <c r="H191" s="508">
        <f aca="true" t="shared" si="37" ref="H191:N191">SUM(H192+H195)</f>
        <v>0</v>
      </c>
      <c r="I191" s="508">
        <f t="shared" si="37"/>
        <v>0</v>
      </c>
      <c r="J191" s="508">
        <f t="shared" si="37"/>
        <v>0</v>
      </c>
      <c r="K191" s="508">
        <f t="shared" si="37"/>
        <v>764465</v>
      </c>
      <c r="L191" s="508">
        <f t="shared" si="37"/>
        <v>0</v>
      </c>
      <c r="M191" s="508">
        <f t="shared" si="37"/>
        <v>0</v>
      </c>
      <c r="N191" s="508">
        <f t="shared" si="37"/>
        <v>0</v>
      </c>
    </row>
    <row r="192" spans="1:14" s="343" customFormat="1" ht="51">
      <c r="A192" s="442"/>
      <c r="B192" s="442">
        <v>75702</v>
      </c>
      <c r="C192" s="443"/>
      <c r="D192" s="444" t="s">
        <v>52</v>
      </c>
      <c r="E192" s="507">
        <f t="shared" si="26"/>
        <v>357065</v>
      </c>
      <c r="F192" s="510">
        <f t="shared" si="32"/>
        <v>357065</v>
      </c>
      <c r="G192" s="510">
        <f>SUM(G193:G194)</f>
        <v>0</v>
      </c>
      <c r="H192" s="510">
        <f aca="true" t="shared" si="38" ref="H192:N192">SUM(H193:H194)</f>
        <v>0</v>
      </c>
      <c r="I192" s="510">
        <f t="shared" si="38"/>
        <v>0</v>
      </c>
      <c r="J192" s="510">
        <f t="shared" si="38"/>
        <v>0</v>
      </c>
      <c r="K192" s="510">
        <f t="shared" si="38"/>
        <v>357065</v>
      </c>
      <c r="L192" s="510">
        <f t="shared" si="38"/>
        <v>0</v>
      </c>
      <c r="M192" s="510">
        <f t="shared" si="38"/>
        <v>0</v>
      </c>
      <c r="N192" s="510">
        <f t="shared" si="38"/>
        <v>0</v>
      </c>
    </row>
    <row r="193" spans="1:14" s="341" customFormat="1" ht="38.25" hidden="1">
      <c r="A193" s="435"/>
      <c r="B193" s="435"/>
      <c r="C193" s="528">
        <v>8010</v>
      </c>
      <c r="D193" s="529" t="s">
        <v>316</v>
      </c>
      <c r="E193" s="507">
        <f t="shared" si="26"/>
        <v>0</v>
      </c>
      <c r="F193" s="512">
        <f t="shared" si="32"/>
        <v>0</v>
      </c>
      <c r="G193" s="512"/>
      <c r="H193" s="512"/>
      <c r="I193" s="512"/>
      <c r="J193" s="512"/>
      <c r="K193" s="512"/>
      <c r="L193" s="512"/>
      <c r="M193" s="512"/>
      <c r="N193" s="512"/>
    </row>
    <row r="194" spans="1:14" s="341" customFormat="1" ht="51">
      <c r="A194" s="435"/>
      <c r="B194" s="435"/>
      <c r="C194" s="453">
        <v>8070</v>
      </c>
      <c r="D194" s="511" t="s">
        <v>53</v>
      </c>
      <c r="E194" s="507">
        <f t="shared" si="26"/>
        <v>357065</v>
      </c>
      <c r="F194" s="512">
        <f t="shared" si="32"/>
        <v>357065</v>
      </c>
      <c r="G194" s="512"/>
      <c r="H194" s="512"/>
      <c r="I194" s="512"/>
      <c r="J194" s="512"/>
      <c r="K194" s="512">
        <v>357065</v>
      </c>
      <c r="L194" s="512"/>
      <c r="M194" s="512"/>
      <c r="N194" s="512"/>
    </row>
    <row r="195" spans="1:14" s="341" customFormat="1" ht="60.75" customHeight="1">
      <c r="A195" s="435"/>
      <c r="B195" s="530">
        <v>75704</v>
      </c>
      <c r="C195" s="531"/>
      <c r="D195" s="555" t="s">
        <v>298</v>
      </c>
      <c r="E195" s="507">
        <f t="shared" si="26"/>
        <v>407400</v>
      </c>
      <c r="F195" s="512">
        <f t="shared" si="32"/>
        <v>407400</v>
      </c>
      <c r="G195" s="512">
        <f>SUM(G196)</f>
        <v>0</v>
      </c>
      <c r="H195" s="512">
        <f>SUM(H196)</f>
        <v>0</v>
      </c>
      <c r="I195" s="512">
        <f aca="true" t="shared" si="39" ref="I195:N195">SUM(I196)</f>
        <v>0</v>
      </c>
      <c r="J195" s="512">
        <f t="shared" si="39"/>
        <v>0</v>
      </c>
      <c r="K195" s="512">
        <f>SUM(K196)</f>
        <v>407400</v>
      </c>
      <c r="L195" s="512">
        <f t="shared" si="39"/>
        <v>0</v>
      </c>
      <c r="M195" s="512">
        <f t="shared" si="39"/>
        <v>0</v>
      </c>
      <c r="N195" s="512">
        <f t="shared" si="39"/>
        <v>0</v>
      </c>
    </row>
    <row r="196" spans="1:14" s="341" customFormat="1" ht="25.5">
      <c r="A196" s="435"/>
      <c r="B196" s="530"/>
      <c r="C196" s="531">
        <v>8020</v>
      </c>
      <c r="D196" s="319" t="s">
        <v>297</v>
      </c>
      <c r="E196" s="507">
        <f t="shared" si="26"/>
        <v>0</v>
      </c>
      <c r="F196" s="512"/>
      <c r="G196" s="512"/>
      <c r="H196" s="512"/>
      <c r="I196" s="512"/>
      <c r="J196" s="512"/>
      <c r="K196" s="512">
        <v>407400</v>
      </c>
      <c r="L196" s="512"/>
      <c r="M196" s="512"/>
      <c r="N196" s="512"/>
    </row>
    <row r="197" spans="1:14" s="342" customFormat="1" ht="15.75">
      <c r="A197" s="435">
        <v>758</v>
      </c>
      <c r="B197" s="435"/>
      <c r="C197" s="436"/>
      <c r="D197" s="437" t="s">
        <v>54</v>
      </c>
      <c r="E197" s="507">
        <f t="shared" si="26"/>
        <v>710000</v>
      </c>
      <c r="F197" s="508">
        <f aca="true" t="shared" si="40" ref="F197:F202">SUM(G197:M197)</f>
        <v>710000</v>
      </c>
      <c r="G197" s="508">
        <f>G198</f>
        <v>0</v>
      </c>
      <c r="H197" s="508">
        <f aca="true" t="shared" si="41" ref="H197:N197">H198</f>
        <v>0</v>
      </c>
      <c r="I197" s="508">
        <f t="shared" si="41"/>
        <v>0</v>
      </c>
      <c r="J197" s="508">
        <f t="shared" si="41"/>
        <v>0</v>
      </c>
      <c r="K197" s="508">
        <f t="shared" si="41"/>
        <v>0</v>
      </c>
      <c r="L197" s="508">
        <f t="shared" si="41"/>
        <v>0</v>
      </c>
      <c r="M197" s="508">
        <f t="shared" si="41"/>
        <v>710000</v>
      </c>
      <c r="N197" s="508">
        <f t="shared" si="41"/>
        <v>0</v>
      </c>
    </row>
    <row r="198" spans="1:14" s="343" customFormat="1" ht="15.75">
      <c r="A198" s="442"/>
      <c r="B198" s="442">
        <v>75818</v>
      </c>
      <c r="C198" s="443"/>
      <c r="D198" s="444" t="s">
        <v>55</v>
      </c>
      <c r="E198" s="507">
        <f t="shared" si="26"/>
        <v>710000</v>
      </c>
      <c r="F198" s="510">
        <f t="shared" si="40"/>
        <v>710000</v>
      </c>
      <c r="G198" s="510">
        <f aca="true" t="shared" si="42" ref="G198:N198">SUM(G199:G200)</f>
        <v>0</v>
      </c>
      <c r="H198" s="510">
        <f t="shared" si="42"/>
        <v>0</v>
      </c>
      <c r="I198" s="510">
        <f t="shared" si="42"/>
        <v>0</v>
      </c>
      <c r="J198" s="510">
        <f t="shared" si="42"/>
        <v>0</v>
      </c>
      <c r="K198" s="510">
        <f t="shared" si="42"/>
        <v>0</v>
      </c>
      <c r="L198" s="510">
        <f t="shared" si="42"/>
        <v>0</v>
      </c>
      <c r="M198" s="510">
        <f t="shared" si="42"/>
        <v>710000</v>
      </c>
      <c r="N198" s="510">
        <f t="shared" si="42"/>
        <v>0</v>
      </c>
    </row>
    <row r="199" spans="1:14" s="341" customFormat="1" ht="15">
      <c r="A199" s="435"/>
      <c r="B199" s="435"/>
      <c r="C199" s="453">
        <v>4810</v>
      </c>
      <c r="D199" s="511" t="s">
        <v>56</v>
      </c>
      <c r="E199" s="507">
        <f t="shared" si="26"/>
        <v>710000</v>
      </c>
      <c r="F199" s="512">
        <f t="shared" si="40"/>
        <v>710000</v>
      </c>
      <c r="G199" s="512"/>
      <c r="H199" s="512"/>
      <c r="I199" s="512"/>
      <c r="J199" s="512"/>
      <c r="K199" s="512"/>
      <c r="L199" s="512"/>
      <c r="M199" s="512">
        <v>710000</v>
      </c>
      <c r="N199" s="512"/>
    </row>
    <row r="200" spans="1:14" s="341" customFormat="1" ht="39.75" customHeight="1" hidden="1">
      <c r="A200" s="435"/>
      <c r="B200" s="435"/>
      <c r="C200" s="453">
        <v>6800</v>
      </c>
      <c r="D200" s="511" t="s">
        <v>124</v>
      </c>
      <c r="E200" s="507">
        <f t="shared" si="26"/>
        <v>0</v>
      </c>
      <c r="F200" s="512">
        <f t="shared" si="40"/>
        <v>0</v>
      </c>
      <c r="G200" s="512"/>
      <c r="H200" s="512"/>
      <c r="I200" s="512"/>
      <c r="J200" s="512"/>
      <c r="K200" s="512"/>
      <c r="L200" s="512"/>
      <c r="M200" s="113"/>
      <c r="N200" s="512"/>
    </row>
    <row r="201" spans="1:14" s="342" customFormat="1" ht="25.5">
      <c r="A201" s="435">
        <v>801</v>
      </c>
      <c r="B201" s="435"/>
      <c r="C201" s="436"/>
      <c r="D201" s="437" t="s">
        <v>57</v>
      </c>
      <c r="E201" s="507">
        <f t="shared" si="26"/>
        <v>15413156</v>
      </c>
      <c r="F201" s="508">
        <f t="shared" si="40"/>
        <v>14797256</v>
      </c>
      <c r="G201" s="508">
        <f aca="true" t="shared" si="43" ref="G201:N201">SUM(G202+G210+G233+G245+G277+G301+G308+G313+G326)</f>
        <v>9526716</v>
      </c>
      <c r="H201" s="508">
        <f t="shared" si="43"/>
        <v>713030</v>
      </c>
      <c r="I201" s="508">
        <f t="shared" si="43"/>
        <v>1811570</v>
      </c>
      <c r="J201" s="508">
        <f t="shared" si="43"/>
        <v>103860</v>
      </c>
      <c r="K201" s="508">
        <f t="shared" si="43"/>
        <v>0</v>
      </c>
      <c r="L201" s="508">
        <f t="shared" si="43"/>
        <v>0</v>
      </c>
      <c r="M201" s="508">
        <f t="shared" si="43"/>
        <v>2642080</v>
      </c>
      <c r="N201" s="508">
        <f t="shared" si="43"/>
        <v>615900</v>
      </c>
    </row>
    <row r="202" spans="1:15" s="343" customFormat="1" ht="25.5">
      <c r="A202" s="435"/>
      <c r="B202" s="442">
        <v>80102</v>
      </c>
      <c r="C202" s="443"/>
      <c r="D202" s="444" t="s">
        <v>58</v>
      </c>
      <c r="E202" s="507">
        <f t="shared" si="26"/>
        <v>1181598</v>
      </c>
      <c r="F202" s="510">
        <f t="shared" si="40"/>
        <v>1181598</v>
      </c>
      <c r="G202" s="510">
        <f aca="true" t="shared" si="44" ref="G202:N202">SUM(G204:G209)</f>
        <v>899118</v>
      </c>
      <c r="H202" s="510">
        <f t="shared" si="44"/>
        <v>66110</v>
      </c>
      <c r="I202" s="510">
        <f t="shared" si="44"/>
        <v>171390</v>
      </c>
      <c r="J202" s="510">
        <f t="shared" si="44"/>
        <v>0</v>
      </c>
      <c r="K202" s="510">
        <f t="shared" si="44"/>
        <v>0</v>
      </c>
      <c r="L202" s="510">
        <f t="shared" si="44"/>
        <v>0</v>
      </c>
      <c r="M202" s="510">
        <f t="shared" si="44"/>
        <v>44980</v>
      </c>
      <c r="N202" s="510">
        <f t="shared" si="44"/>
        <v>0</v>
      </c>
      <c r="O202" s="372"/>
    </row>
    <row r="203" spans="1:15" s="343" customFormat="1" ht="76.5" hidden="1">
      <c r="A203" s="435"/>
      <c r="B203" s="442"/>
      <c r="C203" s="446">
        <v>6300</v>
      </c>
      <c r="D203" s="455" t="s">
        <v>433</v>
      </c>
      <c r="E203" s="507">
        <f aca="true" t="shared" si="45" ref="E203:E267">F203+N203</f>
        <v>0</v>
      </c>
      <c r="F203" s="510"/>
      <c r="G203" s="510"/>
      <c r="H203" s="510"/>
      <c r="I203" s="510"/>
      <c r="J203" s="510"/>
      <c r="K203" s="510"/>
      <c r="L203" s="510"/>
      <c r="M203" s="510"/>
      <c r="N203" s="510"/>
      <c r="O203" s="372"/>
    </row>
    <row r="204" spans="1:14" s="341" customFormat="1" ht="25.5">
      <c r="A204" s="435"/>
      <c r="B204" s="435"/>
      <c r="C204" s="453">
        <v>3020</v>
      </c>
      <c r="D204" s="511" t="s">
        <v>211</v>
      </c>
      <c r="E204" s="507">
        <f t="shared" si="45"/>
        <v>2360</v>
      </c>
      <c r="F204" s="512">
        <f aca="true" t="shared" si="46" ref="F204:F238">SUM(G204:M204)</f>
        <v>2360</v>
      </c>
      <c r="G204" s="512"/>
      <c r="H204" s="512"/>
      <c r="I204" s="512"/>
      <c r="J204" s="512"/>
      <c r="K204" s="512"/>
      <c r="L204" s="512"/>
      <c r="M204" s="512">
        <v>2360</v>
      </c>
      <c r="N204" s="512"/>
    </row>
    <row r="205" spans="1:14" s="341" customFormat="1" ht="25.5">
      <c r="A205" s="435"/>
      <c r="B205" s="435"/>
      <c r="C205" s="453">
        <v>4010</v>
      </c>
      <c r="D205" s="511" t="s">
        <v>653</v>
      </c>
      <c r="E205" s="507">
        <f t="shared" si="45"/>
        <v>899118</v>
      </c>
      <c r="F205" s="512">
        <f t="shared" si="46"/>
        <v>899118</v>
      </c>
      <c r="G205" s="512">
        <v>899118</v>
      </c>
      <c r="H205" s="512"/>
      <c r="I205" s="512"/>
      <c r="J205" s="512"/>
      <c r="K205" s="512"/>
      <c r="L205" s="512"/>
      <c r="M205" s="512"/>
      <c r="N205" s="512"/>
    </row>
    <row r="206" spans="1:14" s="341" customFormat="1" ht="34.5" customHeight="1">
      <c r="A206" s="435"/>
      <c r="B206" s="435"/>
      <c r="C206" s="453">
        <v>4040</v>
      </c>
      <c r="D206" s="511" t="s">
        <v>654</v>
      </c>
      <c r="E206" s="507">
        <f t="shared" si="45"/>
        <v>66110</v>
      </c>
      <c r="F206" s="512">
        <f t="shared" si="46"/>
        <v>66110</v>
      </c>
      <c r="G206" s="512"/>
      <c r="H206" s="512">
        <v>66110</v>
      </c>
      <c r="I206" s="512"/>
      <c r="J206" s="512"/>
      <c r="K206" s="512"/>
      <c r="L206" s="512"/>
      <c r="M206" s="512"/>
      <c r="N206" s="512"/>
    </row>
    <row r="207" spans="1:14" s="341" customFormat="1" ht="25.5">
      <c r="A207" s="435"/>
      <c r="B207" s="435"/>
      <c r="C207" s="453">
        <v>4110</v>
      </c>
      <c r="D207" s="511" t="s">
        <v>59</v>
      </c>
      <c r="E207" s="507">
        <f t="shared" si="45"/>
        <v>147600</v>
      </c>
      <c r="F207" s="512">
        <f t="shared" si="46"/>
        <v>147600</v>
      </c>
      <c r="G207" s="512"/>
      <c r="H207" s="512"/>
      <c r="I207" s="512">
        <v>147600</v>
      </c>
      <c r="J207" s="512"/>
      <c r="K207" s="512"/>
      <c r="L207" s="512"/>
      <c r="M207" s="512"/>
      <c r="N207" s="512"/>
    </row>
    <row r="208" spans="1:14" s="341" customFormat="1" ht="15">
      <c r="A208" s="435"/>
      <c r="B208" s="435"/>
      <c r="C208" s="453">
        <v>4120</v>
      </c>
      <c r="D208" s="511" t="s">
        <v>656</v>
      </c>
      <c r="E208" s="507">
        <f t="shared" si="45"/>
        <v>23790</v>
      </c>
      <c r="F208" s="512">
        <f t="shared" si="46"/>
        <v>23790</v>
      </c>
      <c r="G208" s="512"/>
      <c r="H208" s="512"/>
      <c r="I208" s="512">
        <v>23790</v>
      </c>
      <c r="J208" s="512"/>
      <c r="K208" s="512"/>
      <c r="L208" s="512"/>
      <c r="M208" s="512"/>
      <c r="N208" s="512"/>
    </row>
    <row r="209" spans="1:14" s="341" customFormat="1" ht="47.25" customHeight="1">
      <c r="A209" s="435"/>
      <c r="B209" s="435"/>
      <c r="C209" s="453">
        <v>4440</v>
      </c>
      <c r="D209" s="511" t="s">
        <v>669</v>
      </c>
      <c r="E209" s="507">
        <f t="shared" si="45"/>
        <v>42620</v>
      </c>
      <c r="F209" s="512">
        <f t="shared" si="46"/>
        <v>42620</v>
      </c>
      <c r="G209" s="512"/>
      <c r="H209" s="512"/>
      <c r="I209" s="512"/>
      <c r="J209" s="512"/>
      <c r="K209" s="512"/>
      <c r="L209" s="512"/>
      <c r="M209" s="512">
        <v>42620</v>
      </c>
      <c r="N209" s="512"/>
    </row>
    <row r="210" spans="1:14" s="343" customFormat="1" ht="15.75">
      <c r="A210" s="435"/>
      <c r="B210" s="442">
        <v>80111</v>
      </c>
      <c r="C210" s="443"/>
      <c r="D210" s="444" t="s">
        <v>60</v>
      </c>
      <c r="E210" s="507">
        <f t="shared" si="45"/>
        <v>1103957</v>
      </c>
      <c r="F210" s="510">
        <f t="shared" si="46"/>
        <v>928057</v>
      </c>
      <c r="G210" s="510">
        <f aca="true" t="shared" si="47" ref="G210:N210">SUM(G211:G232)</f>
        <v>568947</v>
      </c>
      <c r="H210" s="510">
        <f t="shared" si="47"/>
        <v>40100</v>
      </c>
      <c r="I210" s="510">
        <f t="shared" si="47"/>
        <v>108670</v>
      </c>
      <c r="J210" s="510">
        <f t="shared" si="47"/>
        <v>0</v>
      </c>
      <c r="K210" s="510">
        <f t="shared" si="47"/>
        <v>0</v>
      </c>
      <c r="L210" s="510">
        <f t="shared" si="47"/>
        <v>0</v>
      </c>
      <c r="M210" s="510">
        <f t="shared" si="47"/>
        <v>210340</v>
      </c>
      <c r="N210" s="510">
        <f t="shared" si="47"/>
        <v>175900</v>
      </c>
    </row>
    <row r="211" spans="1:14" s="341" customFormat="1" ht="25.5">
      <c r="A211" s="435"/>
      <c r="B211" s="435"/>
      <c r="C211" s="453">
        <v>3020</v>
      </c>
      <c r="D211" s="511" t="s">
        <v>211</v>
      </c>
      <c r="E211" s="507">
        <f t="shared" si="45"/>
        <v>6730</v>
      </c>
      <c r="F211" s="512">
        <f t="shared" si="46"/>
        <v>6730</v>
      </c>
      <c r="G211" s="512"/>
      <c r="H211" s="512"/>
      <c r="I211" s="512"/>
      <c r="J211" s="512"/>
      <c r="K211" s="512"/>
      <c r="L211" s="512"/>
      <c r="M211" s="512">
        <v>6730</v>
      </c>
      <c r="N211" s="512"/>
    </row>
    <row r="212" spans="1:14" s="341" customFormat="1" ht="25.5">
      <c r="A212" s="435"/>
      <c r="B212" s="435"/>
      <c r="C212" s="453">
        <v>4010</v>
      </c>
      <c r="D212" s="511" t="s">
        <v>653</v>
      </c>
      <c r="E212" s="507">
        <f t="shared" si="45"/>
        <v>568947</v>
      </c>
      <c r="F212" s="512">
        <f t="shared" si="46"/>
        <v>568947</v>
      </c>
      <c r="G212" s="512">
        <v>568947</v>
      </c>
      <c r="H212" s="512"/>
      <c r="I212" s="512"/>
      <c r="J212" s="512"/>
      <c r="K212" s="512"/>
      <c r="L212" s="512"/>
      <c r="M212" s="512"/>
      <c r="N212" s="512"/>
    </row>
    <row r="213" spans="1:14" s="341" customFormat="1" ht="25.5">
      <c r="A213" s="435"/>
      <c r="B213" s="435"/>
      <c r="C213" s="453">
        <v>4040</v>
      </c>
      <c r="D213" s="511" t="s">
        <v>654</v>
      </c>
      <c r="E213" s="507">
        <f t="shared" si="45"/>
        <v>40100</v>
      </c>
      <c r="F213" s="512">
        <f t="shared" si="46"/>
        <v>40100</v>
      </c>
      <c r="G213" s="512"/>
      <c r="H213" s="512">
        <v>40100</v>
      </c>
      <c r="I213" s="512"/>
      <c r="J213" s="512"/>
      <c r="K213" s="512"/>
      <c r="L213" s="512"/>
      <c r="M213" s="512"/>
      <c r="N213" s="512"/>
    </row>
    <row r="214" spans="1:14" s="341" customFormat="1" ht="25.5">
      <c r="A214" s="435"/>
      <c r="B214" s="435"/>
      <c r="C214" s="453">
        <v>4110</v>
      </c>
      <c r="D214" s="511" t="s">
        <v>59</v>
      </c>
      <c r="E214" s="507">
        <f t="shared" si="45"/>
        <v>93590</v>
      </c>
      <c r="F214" s="512">
        <f t="shared" si="46"/>
        <v>93590</v>
      </c>
      <c r="G214" s="512"/>
      <c r="H214" s="512"/>
      <c r="I214" s="512">
        <v>93590</v>
      </c>
      <c r="J214" s="512"/>
      <c r="K214" s="512"/>
      <c r="L214" s="512"/>
      <c r="M214" s="512"/>
      <c r="N214" s="512"/>
    </row>
    <row r="215" spans="1:14" s="341" customFormat="1" ht="15">
      <c r="A215" s="435"/>
      <c r="B215" s="435"/>
      <c r="C215" s="453">
        <v>4120</v>
      </c>
      <c r="D215" s="511" t="s">
        <v>61</v>
      </c>
      <c r="E215" s="507">
        <f t="shared" si="45"/>
        <v>15080</v>
      </c>
      <c r="F215" s="512">
        <f t="shared" si="46"/>
        <v>15080</v>
      </c>
      <c r="G215" s="512"/>
      <c r="H215" s="512"/>
      <c r="I215" s="512">
        <v>15080</v>
      </c>
      <c r="J215" s="512"/>
      <c r="K215" s="512"/>
      <c r="L215" s="512"/>
      <c r="M215" s="512"/>
      <c r="N215" s="512"/>
    </row>
    <row r="216" spans="1:14" s="341" customFormat="1" ht="33" customHeight="1">
      <c r="A216" s="435"/>
      <c r="B216" s="435"/>
      <c r="C216" s="453">
        <v>4170</v>
      </c>
      <c r="D216" s="511" t="s">
        <v>21</v>
      </c>
      <c r="E216" s="507">
        <f t="shared" si="45"/>
        <v>2630</v>
      </c>
      <c r="F216" s="512">
        <f t="shared" si="46"/>
        <v>2630</v>
      </c>
      <c r="G216" s="512"/>
      <c r="H216" s="512"/>
      <c r="I216" s="512"/>
      <c r="J216" s="512"/>
      <c r="K216" s="512"/>
      <c r="L216" s="512"/>
      <c r="M216" s="512">
        <v>2630</v>
      </c>
      <c r="N216" s="512"/>
    </row>
    <row r="217" spans="1:14" s="341" customFormat="1" ht="25.5">
      <c r="A217" s="435"/>
      <c r="B217" s="435"/>
      <c r="C217" s="453">
        <v>4210</v>
      </c>
      <c r="D217" s="511" t="s">
        <v>658</v>
      </c>
      <c r="E217" s="507">
        <f t="shared" si="45"/>
        <v>18200</v>
      </c>
      <c r="F217" s="512">
        <f t="shared" si="46"/>
        <v>18200</v>
      </c>
      <c r="G217" s="512"/>
      <c r="H217" s="512"/>
      <c r="I217" s="512"/>
      <c r="J217" s="512"/>
      <c r="K217" s="512"/>
      <c r="L217" s="512"/>
      <c r="M217" s="512">
        <v>18200</v>
      </c>
      <c r="N217" s="512"/>
    </row>
    <row r="218" spans="1:14" s="341" customFormat="1" ht="25.5" hidden="1">
      <c r="A218" s="435"/>
      <c r="B218" s="435"/>
      <c r="C218" s="453">
        <v>4240</v>
      </c>
      <c r="D218" s="511" t="s">
        <v>62</v>
      </c>
      <c r="E218" s="507">
        <f t="shared" si="45"/>
        <v>0</v>
      </c>
      <c r="F218" s="512">
        <f t="shared" si="46"/>
        <v>0</v>
      </c>
      <c r="G218" s="512"/>
      <c r="H218" s="512"/>
      <c r="I218" s="512"/>
      <c r="J218" s="512"/>
      <c r="K218" s="512"/>
      <c r="L218" s="512"/>
      <c r="M218" s="512"/>
      <c r="N218" s="512"/>
    </row>
    <row r="219" spans="1:14" s="341" customFormat="1" ht="15">
      <c r="A219" s="435"/>
      <c r="B219" s="435"/>
      <c r="C219" s="453">
        <v>4260</v>
      </c>
      <c r="D219" s="511" t="s">
        <v>659</v>
      </c>
      <c r="E219" s="507">
        <f t="shared" si="45"/>
        <v>86230</v>
      </c>
      <c r="F219" s="512">
        <f t="shared" si="46"/>
        <v>86230</v>
      </c>
      <c r="G219" s="512"/>
      <c r="H219" s="512"/>
      <c r="I219" s="512"/>
      <c r="J219" s="512"/>
      <c r="K219" s="512"/>
      <c r="L219" s="512"/>
      <c r="M219" s="512">
        <v>86230</v>
      </c>
      <c r="N219" s="512"/>
    </row>
    <row r="220" spans="1:14" s="341" customFormat="1" ht="15">
      <c r="A220" s="435"/>
      <c r="B220" s="435"/>
      <c r="C220" s="453">
        <v>4270</v>
      </c>
      <c r="D220" s="511" t="s">
        <v>676</v>
      </c>
      <c r="E220" s="507">
        <f t="shared" si="45"/>
        <v>3700</v>
      </c>
      <c r="F220" s="512">
        <f t="shared" si="46"/>
        <v>3700</v>
      </c>
      <c r="G220" s="512"/>
      <c r="H220" s="512"/>
      <c r="I220" s="512"/>
      <c r="J220" s="512"/>
      <c r="K220" s="512"/>
      <c r="L220" s="512"/>
      <c r="M220" s="512">
        <v>3700</v>
      </c>
      <c r="N220" s="512"/>
    </row>
    <row r="221" spans="1:14" s="341" customFormat="1" ht="48.75" customHeight="1">
      <c r="A221" s="435"/>
      <c r="B221" s="435"/>
      <c r="C221" s="453">
        <v>4280</v>
      </c>
      <c r="D221" s="511" t="s">
        <v>661</v>
      </c>
      <c r="E221" s="507">
        <f t="shared" si="45"/>
        <v>1500</v>
      </c>
      <c r="F221" s="512">
        <f t="shared" si="46"/>
        <v>1500</v>
      </c>
      <c r="G221" s="512"/>
      <c r="H221" s="512"/>
      <c r="I221" s="512"/>
      <c r="J221" s="512"/>
      <c r="K221" s="512"/>
      <c r="L221" s="512"/>
      <c r="M221" s="512">
        <v>1500</v>
      </c>
      <c r="N221" s="512"/>
    </row>
    <row r="222" spans="1:14" s="341" customFormat="1" ht="15">
      <c r="A222" s="435"/>
      <c r="B222" s="435"/>
      <c r="C222" s="453">
        <v>4300</v>
      </c>
      <c r="D222" s="511" t="s">
        <v>641</v>
      </c>
      <c r="E222" s="507">
        <f t="shared" si="45"/>
        <v>46220</v>
      </c>
      <c r="F222" s="512">
        <f t="shared" si="46"/>
        <v>46220</v>
      </c>
      <c r="G222" s="512"/>
      <c r="H222" s="512"/>
      <c r="I222" s="512"/>
      <c r="J222" s="512"/>
      <c r="K222" s="512"/>
      <c r="L222" s="512"/>
      <c r="M222" s="512">
        <v>46220</v>
      </c>
      <c r="N222" s="512"/>
    </row>
    <row r="223" spans="1:14" s="341" customFormat="1" ht="25.5">
      <c r="A223" s="435"/>
      <c r="B223" s="435"/>
      <c r="C223" s="453">
        <v>4350</v>
      </c>
      <c r="D223" s="511" t="s">
        <v>662</v>
      </c>
      <c r="E223" s="507">
        <f t="shared" si="45"/>
        <v>3220</v>
      </c>
      <c r="F223" s="512">
        <f t="shared" si="46"/>
        <v>3220</v>
      </c>
      <c r="G223" s="512"/>
      <c r="H223" s="512"/>
      <c r="I223" s="512"/>
      <c r="J223" s="512"/>
      <c r="K223" s="512"/>
      <c r="L223" s="512"/>
      <c r="M223" s="512">
        <v>3220</v>
      </c>
      <c r="N223" s="512"/>
    </row>
    <row r="224" spans="1:14" s="341" customFormat="1" ht="38.25">
      <c r="A224" s="435"/>
      <c r="B224" s="435"/>
      <c r="C224" s="453">
        <v>4370</v>
      </c>
      <c r="D224" s="511" t="s">
        <v>63</v>
      </c>
      <c r="E224" s="507">
        <f t="shared" si="45"/>
        <v>3910</v>
      </c>
      <c r="F224" s="512">
        <f t="shared" si="46"/>
        <v>3910</v>
      </c>
      <c r="G224" s="512"/>
      <c r="H224" s="512"/>
      <c r="I224" s="512"/>
      <c r="J224" s="512"/>
      <c r="K224" s="512"/>
      <c r="L224" s="512"/>
      <c r="M224" s="512">
        <v>3910</v>
      </c>
      <c r="N224" s="512"/>
    </row>
    <row r="225" spans="1:14" s="341" customFormat="1" ht="15">
      <c r="A225" s="435"/>
      <c r="B225" s="435"/>
      <c r="C225" s="453">
        <v>4410</v>
      </c>
      <c r="D225" s="511" t="s">
        <v>667</v>
      </c>
      <c r="E225" s="507">
        <f t="shared" si="45"/>
        <v>1060</v>
      </c>
      <c r="F225" s="512">
        <f t="shared" si="46"/>
        <v>1060</v>
      </c>
      <c r="G225" s="512"/>
      <c r="H225" s="512"/>
      <c r="I225" s="512"/>
      <c r="J225" s="512"/>
      <c r="K225" s="512"/>
      <c r="L225" s="512"/>
      <c r="M225" s="512">
        <v>1060</v>
      </c>
      <c r="N225" s="512"/>
    </row>
    <row r="226" spans="1:14" s="341" customFormat="1" ht="15">
      <c r="A226" s="435"/>
      <c r="B226" s="435"/>
      <c r="C226" s="453">
        <v>4430</v>
      </c>
      <c r="D226" s="511" t="s">
        <v>668</v>
      </c>
      <c r="E226" s="507">
        <f t="shared" si="45"/>
        <v>3870</v>
      </c>
      <c r="F226" s="512">
        <f t="shared" si="46"/>
        <v>3870</v>
      </c>
      <c r="G226" s="512"/>
      <c r="H226" s="512"/>
      <c r="I226" s="512"/>
      <c r="J226" s="512"/>
      <c r="K226" s="512"/>
      <c r="L226" s="512"/>
      <c r="M226" s="512">
        <v>3870</v>
      </c>
      <c r="N226" s="512"/>
    </row>
    <row r="227" spans="1:14" s="341" customFormat="1" ht="40.5" customHeight="1">
      <c r="A227" s="435"/>
      <c r="B227" s="435"/>
      <c r="C227" s="453">
        <v>4440</v>
      </c>
      <c r="D227" s="511" t="s">
        <v>669</v>
      </c>
      <c r="E227" s="507">
        <f t="shared" si="45"/>
        <v>26260</v>
      </c>
      <c r="F227" s="512">
        <f t="shared" si="46"/>
        <v>26260</v>
      </c>
      <c r="G227" s="512"/>
      <c r="H227" s="512"/>
      <c r="I227" s="512"/>
      <c r="J227" s="512"/>
      <c r="K227" s="512"/>
      <c r="L227" s="512"/>
      <c r="M227" s="512">
        <v>26260</v>
      </c>
      <c r="N227" s="512"/>
    </row>
    <row r="228" spans="1:14" s="341" customFormat="1" ht="25.5">
      <c r="A228" s="435"/>
      <c r="B228" s="435"/>
      <c r="C228" s="453">
        <v>4510</v>
      </c>
      <c r="D228" s="511" t="s">
        <v>246</v>
      </c>
      <c r="E228" s="507">
        <f t="shared" si="45"/>
        <v>310</v>
      </c>
      <c r="F228" s="512">
        <f t="shared" si="46"/>
        <v>310</v>
      </c>
      <c r="G228" s="512"/>
      <c r="H228" s="512"/>
      <c r="I228" s="512"/>
      <c r="J228" s="512"/>
      <c r="K228" s="512"/>
      <c r="L228" s="512"/>
      <c r="M228" s="512">
        <v>310</v>
      </c>
      <c r="N228" s="512"/>
    </row>
    <row r="229" spans="1:14" s="341" customFormat="1" ht="49.5" customHeight="1">
      <c r="A229" s="435"/>
      <c r="B229" s="435"/>
      <c r="C229" s="453">
        <v>4700</v>
      </c>
      <c r="D229" s="511" t="s">
        <v>210</v>
      </c>
      <c r="E229" s="507">
        <f t="shared" si="45"/>
        <v>1000</v>
      </c>
      <c r="F229" s="512">
        <f t="shared" si="46"/>
        <v>1000</v>
      </c>
      <c r="G229" s="512"/>
      <c r="H229" s="512"/>
      <c r="I229" s="512"/>
      <c r="J229" s="512"/>
      <c r="K229" s="512"/>
      <c r="L229" s="512"/>
      <c r="M229" s="512">
        <v>1000</v>
      </c>
      <c r="N229" s="512"/>
    </row>
    <row r="230" spans="1:14" s="341" customFormat="1" ht="51">
      <c r="A230" s="435"/>
      <c r="B230" s="435"/>
      <c r="C230" s="453">
        <v>4740</v>
      </c>
      <c r="D230" s="511" t="s">
        <v>24</v>
      </c>
      <c r="E230" s="507">
        <f t="shared" si="45"/>
        <v>1500</v>
      </c>
      <c r="F230" s="512">
        <f t="shared" si="46"/>
        <v>1500</v>
      </c>
      <c r="G230" s="512"/>
      <c r="H230" s="512"/>
      <c r="I230" s="512"/>
      <c r="J230" s="512"/>
      <c r="K230" s="512"/>
      <c r="L230" s="512"/>
      <c r="M230" s="512">
        <v>1500</v>
      </c>
      <c r="N230" s="512"/>
    </row>
    <row r="231" spans="1:14" s="341" customFormat="1" ht="38.25">
      <c r="A231" s="435"/>
      <c r="B231" s="435"/>
      <c r="C231" s="453">
        <v>4750</v>
      </c>
      <c r="D231" s="511" t="s">
        <v>64</v>
      </c>
      <c r="E231" s="507">
        <f t="shared" si="45"/>
        <v>4000</v>
      </c>
      <c r="F231" s="512">
        <f t="shared" si="46"/>
        <v>4000</v>
      </c>
      <c r="G231" s="512"/>
      <c r="H231" s="512"/>
      <c r="I231" s="512"/>
      <c r="J231" s="512"/>
      <c r="K231" s="512"/>
      <c r="L231" s="512"/>
      <c r="M231" s="512">
        <v>4000</v>
      </c>
      <c r="N231" s="512"/>
    </row>
    <row r="232" spans="1:15" s="343" customFormat="1" ht="76.5">
      <c r="A232" s="435"/>
      <c r="B232" s="442"/>
      <c r="C232" s="446">
        <v>6300</v>
      </c>
      <c r="D232" s="455" t="s">
        <v>433</v>
      </c>
      <c r="E232" s="507">
        <f>F232+N232</f>
        <v>175900</v>
      </c>
      <c r="F232" s="510"/>
      <c r="G232" s="510"/>
      <c r="H232" s="510"/>
      <c r="I232" s="510"/>
      <c r="J232" s="510"/>
      <c r="K232" s="510"/>
      <c r="L232" s="510"/>
      <c r="M232" s="510"/>
      <c r="N232" s="510">
        <v>175900</v>
      </c>
      <c r="O232" s="372"/>
    </row>
    <row r="233" spans="1:14" s="343" customFormat="1" ht="15.75">
      <c r="A233" s="435"/>
      <c r="B233" s="442">
        <v>80120</v>
      </c>
      <c r="C233" s="443"/>
      <c r="D233" s="444" t="s">
        <v>65</v>
      </c>
      <c r="E233" s="507">
        <f t="shared" si="45"/>
        <v>2440220</v>
      </c>
      <c r="F233" s="510">
        <f t="shared" si="46"/>
        <v>2440220</v>
      </c>
      <c r="G233" s="510">
        <f>SUM(G234:G244)</f>
        <v>1717520</v>
      </c>
      <c r="H233" s="510">
        <f aca="true" t="shared" si="48" ref="H233:N233">SUM(H234:H244)</f>
        <v>127670</v>
      </c>
      <c r="I233" s="510">
        <f t="shared" si="48"/>
        <v>332430</v>
      </c>
      <c r="J233" s="510">
        <f t="shared" si="48"/>
        <v>53860</v>
      </c>
      <c r="K233" s="510">
        <f t="shared" si="48"/>
        <v>0</v>
      </c>
      <c r="L233" s="510">
        <f t="shared" si="48"/>
        <v>0</v>
      </c>
      <c r="M233" s="510">
        <f t="shared" si="48"/>
        <v>208740</v>
      </c>
      <c r="N233" s="510">
        <f t="shared" si="48"/>
        <v>0</v>
      </c>
    </row>
    <row r="234" spans="1:14" s="341" customFormat="1" ht="105" customHeight="1">
      <c r="A234" s="435"/>
      <c r="B234" s="435"/>
      <c r="C234" s="453">
        <v>2540</v>
      </c>
      <c r="D234" s="511" t="s">
        <v>66</v>
      </c>
      <c r="E234" s="507">
        <f t="shared" si="45"/>
        <v>53860</v>
      </c>
      <c r="F234" s="512">
        <f t="shared" si="46"/>
        <v>53860</v>
      </c>
      <c r="G234" s="512"/>
      <c r="H234" s="512"/>
      <c r="I234" s="512"/>
      <c r="J234" s="512">
        <v>53860</v>
      </c>
      <c r="K234" s="512"/>
      <c r="L234" s="512"/>
      <c r="M234" s="512"/>
      <c r="N234" s="512"/>
    </row>
    <row r="235" spans="1:14" s="341" customFormat="1" ht="25.5">
      <c r="A235" s="435"/>
      <c r="B235" s="435"/>
      <c r="C235" s="453">
        <v>3020</v>
      </c>
      <c r="D235" s="511" t="s">
        <v>211</v>
      </c>
      <c r="E235" s="507">
        <f t="shared" si="45"/>
        <v>66940</v>
      </c>
      <c r="F235" s="512">
        <f t="shared" si="46"/>
        <v>66940</v>
      </c>
      <c r="G235" s="512"/>
      <c r="H235" s="512"/>
      <c r="I235" s="512"/>
      <c r="J235" s="512"/>
      <c r="K235" s="512"/>
      <c r="L235" s="512"/>
      <c r="M235" s="512">
        <v>66940</v>
      </c>
      <c r="N235" s="512"/>
    </row>
    <row r="236" spans="1:14" s="341" customFormat="1" ht="57.75" customHeight="1">
      <c r="A236" s="435"/>
      <c r="B236" s="435"/>
      <c r="C236" s="453">
        <v>4010</v>
      </c>
      <c r="D236" s="511" t="s">
        <v>653</v>
      </c>
      <c r="E236" s="507">
        <f t="shared" si="45"/>
        <v>1717520</v>
      </c>
      <c r="F236" s="512">
        <f t="shared" si="46"/>
        <v>1717520</v>
      </c>
      <c r="G236" s="512">
        <v>1717520</v>
      </c>
      <c r="H236" s="512"/>
      <c r="I236" s="512"/>
      <c r="J236" s="512"/>
      <c r="K236" s="512"/>
      <c r="L236" s="512"/>
      <c r="M236" s="512"/>
      <c r="N236" s="512"/>
    </row>
    <row r="237" spans="1:14" s="341" customFormat="1" ht="44.25" customHeight="1">
      <c r="A237" s="435"/>
      <c r="B237" s="435"/>
      <c r="C237" s="453">
        <v>4040</v>
      </c>
      <c r="D237" s="511" t="s">
        <v>654</v>
      </c>
      <c r="E237" s="507">
        <f t="shared" si="45"/>
        <v>127670</v>
      </c>
      <c r="F237" s="512">
        <f t="shared" si="46"/>
        <v>127670</v>
      </c>
      <c r="G237" s="512"/>
      <c r="H237" s="512">
        <v>127670</v>
      </c>
      <c r="I237" s="512"/>
      <c r="J237" s="512"/>
      <c r="K237" s="512"/>
      <c r="L237" s="512"/>
      <c r="M237" s="512"/>
      <c r="N237" s="512"/>
    </row>
    <row r="238" spans="1:14" s="341" customFormat="1" ht="25.5">
      <c r="A238" s="435"/>
      <c r="B238" s="435"/>
      <c r="C238" s="453">
        <v>4110</v>
      </c>
      <c r="D238" s="511" t="s">
        <v>59</v>
      </c>
      <c r="E238" s="507">
        <f t="shared" si="45"/>
        <v>286860</v>
      </c>
      <c r="F238" s="512">
        <f t="shared" si="46"/>
        <v>286860</v>
      </c>
      <c r="G238" s="512"/>
      <c r="H238" s="512"/>
      <c r="I238" s="512">
        <v>286860</v>
      </c>
      <c r="J238" s="512"/>
      <c r="K238" s="512"/>
      <c r="L238" s="512"/>
      <c r="M238" s="512"/>
      <c r="N238" s="512"/>
    </row>
    <row r="239" spans="1:14" s="341" customFormat="1" ht="15">
      <c r="A239" s="435"/>
      <c r="B239" s="435"/>
      <c r="C239" s="453">
        <v>4120</v>
      </c>
      <c r="D239" s="511" t="s">
        <v>656</v>
      </c>
      <c r="E239" s="507">
        <f t="shared" si="45"/>
        <v>45570</v>
      </c>
      <c r="F239" s="512">
        <f aca="true" t="shared" si="49" ref="F239:F306">SUM(G239:M239)</f>
        <v>45570</v>
      </c>
      <c r="G239" s="512"/>
      <c r="H239" s="512"/>
      <c r="I239" s="512">
        <v>45570</v>
      </c>
      <c r="J239" s="512"/>
      <c r="K239" s="512"/>
      <c r="L239" s="512"/>
      <c r="M239" s="512"/>
      <c r="N239" s="512"/>
    </row>
    <row r="240" spans="1:14" s="341" customFormat="1" ht="25.5">
      <c r="A240" s="435"/>
      <c r="B240" s="435"/>
      <c r="C240" s="453">
        <v>4210</v>
      </c>
      <c r="D240" s="511" t="s">
        <v>658</v>
      </c>
      <c r="E240" s="507">
        <f t="shared" si="45"/>
        <v>10300</v>
      </c>
      <c r="F240" s="512">
        <f t="shared" si="49"/>
        <v>10300</v>
      </c>
      <c r="G240" s="512"/>
      <c r="H240" s="512"/>
      <c r="I240" s="512"/>
      <c r="J240" s="512"/>
      <c r="K240" s="512"/>
      <c r="L240" s="512"/>
      <c r="M240" s="512">
        <v>10300</v>
      </c>
      <c r="N240" s="512"/>
    </row>
    <row r="241" spans="1:14" s="341" customFormat="1" ht="25.5" hidden="1">
      <c r="A241" s="435"/>
      <c r="B241" s="435"/>
      <c r="C241" s="453">
        <v>4240</v>
      </c>
      <c r="D241" s="511" t="s">
        <v>62</v>
      </c>
      <c r="E241" s="507">
        <f t="shared" si="45"/>
        <v>0</v>
      </c>
      <c r="F241" s="512">
        <f t="shared" si="49"/>
        <v>0</v>
      </c>
      <c r="G241" s="512"/>
      <c r="H241" s="512"/>
      <c r="I241" s="512"/>
      <c r="J241" s="512"/>
      <c r="K241" s="512"/>
      <c r="L241" s="512"/>
      <c r="M241" s="512">
        <v>0</v>
      </c>
      <c r="N241" s="512"/>
    </row>
    <row r="242" spans="1:14" s="341" customFormat="1" ht="15">
      <c r="A242" s="435"/>
      <c r="B242" s="435"/>
      <c r="C242" s="453">
        <v>4260</v>
      </c>
      <c r="D242" s="511" t="s">
        <v>659</v>
      </c>
      <c r="E242" s="507">
        <f t="shared" si="45"/>
        <v>5720</v>
      </c>
      <c r="F242" s="512">
        <f t="shared" si="49"/>
        <v>5720</v>
      </c>
      <c r="G242" s="512"/>
      <c r="H242" s="512"/>
      <c r="I242" s="512"/>
      <c r="J242" s="512"/>
      <c r="K242" s="512"/>
      <c r="L242" s="512"/>
      <c r="M242" s="512">
        <v>5720</v>
      </c>
      <c r="N242" s="512"/>
    </row>
    <row r="243" spans="1:14" s="341" customFormat="1" ht="15">
      <c r="A243" s="435"/>
      <c r="B243" s="435"/>
      <c r="C243" s="453">
        <v>4300</v>
      </c>
      <c r="D243" s="511" t="s">
        <v>641</v>
      </c>
      <c r="E243" s="507">
        <f t="shared" si="45"/>
        <v>21600</v>
      </c>
      <c r="F243" s="512">
        <f t="shared" si="49"/>
        <v>21600</v>
      </c>
      <c r="G243" s="512"/>
      <c r="H243" s="512"/>
      <c r="I243" s="512"/>
      <c r="J243" s="512"/>
      <c r="K243" s="512"/>
      <c r="L243" s="512"/>
      <c r="M243" s="512">
        <v>21600</v>
      </c>
      <c r="N243" s="512"/>
    </row>
    <row r="244" spans="1:14" s="341" customFormat="1" ht="44.25" customHeight="1">
      <c r="A244" s="435"/>
      <c r="B244" s="435"/>
      <c r="C244" s="453">
        <v>4440</v>
      </c>
      <c r="D244" s="511" t="s">
        <v>669</v>
      </c>
      <c r="E244" s="507">
        <f t="shared" si="45"/>
        <v>104180</v>
      </c>
      <c r="F244" s="512">
        <f t="shared" si="49"/>
        <v>104180</v>
      </c>
      <c r="G244" s="512"/>
      <c r="H244" s="512"/>
      <c r="I244" s="512"/>
      <c r="J244" s="512"/>
      <c r="K244" s="512"/>
      <c r="L244" s="512"/>
      <c r="M244" s="512">
        <v>104180</v>
      </c>
      <c r="N244" s="512"/>
    </row>
    <row r="245" spans="1:14" s="343" customFormat="1" ht="15.75">
      <c r="A245" s="432"/>
      <c r="B245" s="442">
        <v>80130</v>
      </c>
      <c r="C245" s="443"/>
      <c r="D245" s="444" t="s">
        <v>67</v>
      </c>
      <c r="E245" s="507">
        <f t="shared" si="45"/>
        <v>7690850</v>
      </c>
      <c r="F245" s="510">
        <f t="shared" si="49"/>
        <v>7250850</v>
      </c>
      <c r="G245" s="510">
        <f aca="true" t="shared" si="50" ref="G245:N245">SUM(G246:G276)</f>
        <v>4417210</v>
      </c>
      <c r="H245" s="510">
        <f t="shared" si="50"/>
        <v>334790</v>
      </c>
      <c r="I245" s="510">
        <f t="shared" si="50"/>
        <v>836930</v>
      </c>
      <c r="J245" s="510">
        <f t="shared" si="50"/>
        <v>40000</v>
      </c>
      <c r="K245" s="510">
        <f t="shared" si="50"/>
        <v>0</v>
      </c>
      <c r="L245" s="510">
        <f t="shared" si="50"/>
        <v>0</v>
      </c>
      <c r="M245" s="510">
        <f t="shared" si="50"/>
        <v>1621920</v>
      </c>
      <c r="N245" s="510">
        <f t="shared" si="50"/>
        <v>440000</v>
      </c>
    </row>
    <row r="246" spans="1:14" s="341" customFormat="1" ht="161.25" customHeight="1">
      <c r="A246" s="470"/>
      <c r="B246" s="435"/>
      <c r="C246" s="453">
        <v>2330</v>
      </c>
      <c r="D246" s="511" t="s">
        <v>665</v>
      </c>
      <c r="E246" s="507">
        <f t="shared" si="45"/>
        <v>30000</v>
      </c>
      <c r="F246" s="512">
        <f>SUM(G246:M246)</f>
        <v>30000</v>
      </c>
      <c r="G246" s="512"/>
      <c r="H246" s="512"/>
      <c r="I246" s="512"/>
      <c r="J246" s="512">
        <v>30000</v>
      </c>
      <c r="K246" s="512"/>
      <c r="L246" s="512"/>
      <c r="M246" s="512"/>
      <c r="N246" s="512"/>
    </row>
    <row r="247" spans="1:14" s="341" customFormat="1" ht="132.75" customHeight="1">
      <c r="A247" s="470"/>
      <c r="B247" s="435"/>
      <c r="C247" s="528">
        <v>2320</v>
      </c>
      <c r="D247" s="529" t="s">
        <v>326</v>
      </c>
      <c r="E247" s="507">
        <f t="shared" si="45"/>
        <v>10000</v>
      </c>
      <c r="F247" s="512">
        <f>SUM(G247:M247)</f>
        <v>10000</v>
      </c>
      <c r="G247" s="512"/>
      <c r="H247" s="512"/>
      <c r="I247" s="512"/>
      <c r="J247" s="512">
        <v>10000</v>
      </c>
      <c r="K247" s="512"/>
      <c r="L247" s="512"/>
      <c r="M247" s="512"/>
      <c r="N247" s="512"/>
    </row>
    <row r="248" spans="1:14" s="341" customFormat="1" ht="25.5">
      <c r="A248" s="470"/>
      <c r="B248" s="435"/>
      <c r="C248" s="453">
        <v>3020</v>
      </c>
      <c r="D248" s="511" t="s">
        <v>211</v>
      </c>
      <c r="E248" s="507">
        <f t="shared" si="45"/>
        <v>261490</v>
      </c>
      <c r="F248" s="512">
        <f t="shared" si="49"/>
        <v>261490</v>
      </c>
      <c r="G248" s="512"/>
      <c r="H248" s="512"/>
      <c r="I248" s="512"/>
      <c r="J248" s="512"/>
      <c r="K248" s="512"/>
      <c r="L248" s="512"/>
      <c r="M248" s="512">
        <v>261490</v>
      </c>
      <c r="N248" s="512"/>
    </row>
    <row r="249" spans="1:14" s="341" customFormat="1" ht="25.5">
      <c r="A249" s="470"/>
      <c r="B249" s="435"/>
      <c r="C249" s="453">
        <v>4010</v>
      </c>
      <c r="D249" s="511" t="s">
        <v>653</v>
      </c>
      <c r="E249" s="507">
        <f t="shared" si="45"/>
        <v>4417210</v>
      </c>
      <c r="F249" s="512">
        <f t="shared" si="49"/>
        <v>4417210</v>
      </c>
      <c r="G249" s="512">
        <v>4417210</v>
      </c>
      <c r="H249" s="512"/>
      <c r="I249" s="512"/>
      <c r="J249" s="512"/>
      <c r="K249" s="512"/>
      <c r="L249" s="512"/>
      <c r="M249" s="512"/>
      <c r="N249" s="512"/>
    </row>
    <row r="250" spans="1:14" s="341" customFormat="1" ht="25.5">
      <c r="A250" s="470"/>
      <c r="B250" s="435"/>
      <c r="C250" s="453">
        <v>4040</v>
      </c>
      <c r="D250" s="511" t="s">
        <v>654</v>
      </c>
      <c r="E250" s="507">
        <f t="shared" si="45"/>
        <v>334790</v>
      </c>
      <c r="F250" s="512">
        <f t="shared" si="49"/>
        <v>334790</v>
      </c>
      <c r="G250" s="512"/>
      <c r="H250" s="512">
        <v>334790</v>
      </c>
      <c r="I250" s="512"/>
      <c r="J250" s="512"/>
      <c r="K250" s="512"/>
      <c r="L250" s="512"/>
      <c r="M250" s="512"/>
      <c r="N250" s="512"/>
    </row>
    <row r="251" spans="1:14" s="341" customFormat="1" ht="63.75" customHeight="1">
      <c r="A251" s="470"/>
      <c r="B251" s="435"/>
      <c r="C251" s="453">
        <v>4110</v>
      </c>
      <c r="D251" s="511" t="s">
        <v>59</v>
      </c>
      <c r="E251" s="507">
        <f t="shared" si="45"/>
        <v>721120</v>
      </c>
      <c r="F251" s="512">
        <f t="shared" si="49"/>
        <v>721120</v>
      </c>
      <c r="G251" s="512"/>
      <c r="H251" s="512"/>
      <c r="I251" s="512">
        <v>721120</v>
      </c>
      <c r="J251" s="512"/>
      <c r="K251" s="512"/>
      <c r="L251" s="512"/>
      <c r="M251" s="512"/>
      <c r="N251" s="512"/>
    </row>
    <row r="252" spans="1:14" s="341" customFormat="1" ht="15">
      <c r="A252" s="470"/>
      <c r="B252" s="435"/>
      <c r="C252" s="453">
        <v>4120</v>
      </c>
      <c r="D252" s="511" t="s">
        <v>656</v>
      </c>
      <c r="E252" s="507">
        <f t="shared" si="45"/>
        <v>115810</v>
      </c>
      <c r="F252" s="512">
        <f t="shared" si="49"/>
        <v>115810</v>
      </c>
      <c r="G252" s="512"/>
      <c r="H252" s="512"/>
      <c r="I252" s="512">
        <v>115810</v>
      </c>
      <c r="J252" s="512"/>
      <c r="K252" s="512"/>
      <c r="L252" s="512"/>
      <c r="M252" s="512"/>
      <c r="N252" s="512"/>
    </row>
    <row r="253" spans="1:14" s="341" customFormat="1" ht="15">
      <c r="A253" s="470"/>
      <c r="B253" s="435"/>
      <c r="C253" s="453">
        <v>4140</v>
      </c>
      <c r="D253" s="511" t="s">
        <v>68</v>
      </c>
      <c r="E253" s="507">
        <f t="shared" si="45"/>
        <v>2000</v>
      </c>
      <c r="F253" s="512">
        <f t="shared" si="49"/>
        <v>2000</v>
      </c>
      <c r="G253" s="512"/>
      <c r="H253" s="512"/>
      <c r="I253" s="512"/>
      <c r="J253" s="512"/>
      <c r="K253" s="512"/>
      <c r="L253" s="512"/>
      <c r="M253" s="512">
        <v>2000</v>
      </c>
      <c r="N253" s="512"/>
    </row>
    <row r="254" spans="1:14" s="341" customFormat="1" ht="39.75" customHeight="1">
      <c r="A254" s="470"/>
      <c r="B254" s="435"/>
      <c r="C254" s="453">
        <v>4170</v>
      </c>
      <c r="D254" s="511" t="s">
        <v>21</v>
      </c>
      <c r="E254" s="507">
        <f t="shared" si="45"/>
        <v>90430</v>
      </c>
      <c r="F254" s="512">
        <f t="shared" si="49"/>
        <v>90430</v>
      </c>
      <c r="G254" s="512"/>
      <c r="H254" s="512"/>
      <c r="I254" s="512"/>
      <c r="J254" s="512"/>
      <c r="K254" s="512"/>
      <c r="L254" s="512"/>
      <c r="M254" s="512">
        <v>90430</v>
      </c>
      <c r="N254" s="512"/>
    </row>
    <row r="255" spans="1:14" s="341" customFormat="1" ht="25.5">
      <c r="A255" s="470"/>
      <c r="B255" s="435"/>
      <c r="C255" s="453">
        <v>4210</v>
      </c>
      <c r="D255" s="511" t="s">
        <v>658</v>
      </c>
      <c r="E255" s="507">
        <f t="shared" si="45"/>
        <v>409500</v>
      </c>
      <c r="F255" s="512">
        <f t="shared" si="49"/>
        <v>409500</v>
      </c>
      <c r="G255" s="512"/>
      <c r="H255" s="512"/>
      <c r="I255" s="512"/>
      <c r="J255" s="512"/>
      <c r="K255" s="512"/>
      <c r="L255" s="512"/>
      <c r="M255" s="512">
        <v>409500</v>
      </c>
      <c r="N255" s="512"/>
    </row>
    <row r="256" spans="1:14" s="341" customFormat="1" ht="25.5" hidden="1">
      <c r="A256" s="470"/>
      <c r="B256" s="435"/>
      <c r="C256" s="453">
        <v>4240</v>
      </c>
      <c r="D256" s="511" t="s">
        <v>69</v>
      </c>
      <c r="E256" s="507">
        <f t="shared" si="45"/>
        <v>0</v>
      </c>
      <c r="F256" s="512">
        <f t="shared" si="49"/>
        <v>0</v>
      </c>
      <c r="G256" s="512"/>
      <c r="H256" s="512"/>
      <c r="I256" s="512"/>
      <c r="J256" s="512"/>
      <c r="K256" s="512"/>
      <c r="L256" s="512"/>
      <c r="M256" s="512"/>
      <c r="N256" s="512"/>
    </row>
    <row r="257" spans="1:14" s="341" customFormat="1" ht="15">
      <c r="A257" s="470"/>
      <c r="B257" s="435"/>
      <c r="C257" s="453">
        <v>4260</v>
      </c>
      <c r="D257" s="511" t="s">
        <v>659</v>
      </c>
      <c r="E257" s="507">
        <f t="shared" si="45"/>
        <v>210550</v>
      </c>
      <c r="F257" s="512">
        <f t="shared" si="49"/>
        <v>210550</v>
      </c>
      <c r="G257" s="512"/>
      <c r="H257" s="512"/>
      <c r="I257" s="512"/>
      <c r="J257" s="512"/>
      <c r="K257" s="512"/>
      <c r="L257" s="512"/>
      <c r="M257" s="512">
        <v>210550</v>
      </c>
      <c r="N257" s="512"/>
    </row>
    <row r="258" spans="1:14" s="341" customFormat="1" ht="15">
      <c r="A258" s="470"/>
      <c r="B258" s="435"/>
      <c r="C258" s="453">
        <v>4270</v>
      </c>
      <c r="D258" s="511" t="s">
        <v>660</v>
      </c>
      <c r="E258" s="507">
        <f t="shared" si="45"/>
        <v>113860</v>
      </c>
      <c r="F258" s="512">
        <f t="shared" si="49"/>
        <v>113860</v>
      </c>
      <c r="G258" s="512"/>
      <c r="H258" s="512"/>
      <c r="I258" s="512"/>
      <c r="J258" s="512"/>
      <c r="K258" s="512"/>
      <c r="L258" s="512"/>
      <c r="M258" s="512">
        <v>113860</v>
      </c>
      <c r="N258" s="512"/>
    </row>
    <row r="259" spans="1:14" s="341" customFormat="1" ht="30" customHeight="1">
      <c r="A259" s="470"/>
      <c r="B259" s="435"/>
      <c r="C259" s="453">
        <v>4280</v>
      </c>
      <c r="D259" s="511" t="s">
        <v>661</v>
      </c>
      <c r="E259" s="507">
        <f t="shared" si="45"/>
        <v>8050</v>
      </c>
      <c r="F259" s="512">
        <f t="shared" si="49"/>
        <v>8050</v>
      </c>
      <c r="G259" s="512"/>
      <c r="H259" s="512"/>
      <c r="I259" s="512"/>
      <c r="J259" s="512"/>
      <c r="K259" s="512"/>
      <c r="L259" s="512"/>
      <c r="M259" s="512">
        <v>8050</v>
      </c>
      <c r="N259" s="512"/>
    </row>
    <row r="260" spans="1:14" s="341" customFormat="1" ht="40.5" customHeight="1">
      <c r="A260" s="470"/>
      <c r="B260" s="435"/>
      <c r="C260" s="453">
        <v>4300</v>
      </c>
      <c r="D260" s="511" t="s">
        <v>32</v>
      </c>
      <c r="E260" s="507">
        <f t="shared" si="45"/>
        <v>141660</v>
      </c>
      <c r="F260" s="512">
        <f t="shared" si="49"/>
        <v>141660</v>
      </c>
      <c r="G260" s="512"/>
      <c r="H260" s="512"/>
      <c r="I260" s="512"/>
      <c r="J260" s="512"/>
      <c r="K260" s="512"/>
      <c r="L260" s="512"/>
      <c r="M260" s="512">
        <v>141660</v>
      </c>
      <c r="N260" s="512"/>
    </row>
    <row r="261" spans="1:14" s="341" customFormat="1" ht="25.5">
      <c r="A261" s="470"/>
      <c r="B261" s="435"/>
      <c r="C261" s="453">
        <v>4350</v>
      </c>
      <c r="D261" s="511" t="s">
        <v>662</v>
      </c>
      <c r="E261" s="507">
        <f t="shared" si="45"/>
        <v>7430</v>
      </c>
      <c r="F261" s="512">
        <f t="shared" si="49"/>
        <v>7430</v>
      </c>
      <c r="G261" s="512"/>
      <c r="H261" s="512"/>
      <c r="I261" s="512"/>
      <c r="J261" s="512"/>
      <c r="K261" s="512"/>
      <c r="L261" s="512"/>
      <c r="M261" s="512">
        <v>7430</v>
      </c>
      <c r="N261" s="512"/>
    </row>
    <row r="262" spans="1:14" s="341" customFormat="1" ht="38.25">
      <c r="A262" s="470"/>
      <c r="B262" s="435"/>
      <c r="C262" s="453">
        <v>4360</v>
      </c>
      <c r="D262" s="511" t="s">
        <v>70</v>
      </c>
      <c r="E262" s="507">
        <f t="shared" si="45"/>
        <v>6770</v>
      </c>
      <c r="F262" s="512">
        <f t="shared" si="49"/>
        <v>6770</v>
      </c>
      <c r="G262" s="512"/>
      <c r="H262" s="512"/>
      <c r="I262" s="512"/>
      <c r="J262" s="512"/>
      <c r="K262" s="512"/>
      <c r="L262" s="512"/>
      <c r="M262" s="512">
        <v>6770</v>
      </c>
      <c r="N262" s="512"/>
    </row>
    <row r="263" spans="1:14" s="341" customFormat="1" ht="67.5" customHeight="1">
      <c r="A263" s="470"/>
      <c r="B263" s="435"/>
      <c r="C263" s="453">
        <v>4370</v>
      </c>
      <c r="D263" s="511" t="s">
        <v>63</v>
      </c>
      <c r="E263" s="507">
        <f t="shared" si="45"/>
        <v>22260</v>
      </c>
      <c r="F263" s="512">
        <f t="shared" si="49"/>
        <v>22260</v>
      </c>
      <c r="G263" s="512"/>
      <c r="H263" s="512"/>
      <c r="I263" s="512"/>
      <c r="J263" s="512"/>
      <c r="K263" s="512"/>
      <c r="L263" s="512"/>
      <c r="M263" s="512">
        <v>22260</v>
      </c>
      <c r="N263" s="512"/>
    </row>
    <row r="264" spans="1:14" s="341" customFormat="1" ht="15">
      <c r="A264" s="470"/>
      <c r="B264" s="435"/>
      <c r="C264" s="453">
        <v>4410</v>
      </c>
      <c r="D264" s="511" t="s">
        <v>667</v>
      </c>
      <c r="E264" s="507">
        <f t="shared" si="45"/>
        <v>12710</v>
      </c>
      <c r="F264" s="512">
        <f t="shared" si="49"/>
        <v>12710</v>
      </c>
      <c r="G264" s="512"/>
      <c r="H264" s="512"/>
      <c r="I264" s="512"/>
      <c r="J264" s="512"/>
      <c r="K264" s="512"/>
      <c r="L264" s="512"/>
      <c r="M264" s="512">
        <v>12710</v>
      </c>
      <c r="N264" s="512"/>
    </row>
    <row r="265" spans="1:14" s="341" customFormat="1" ht="25.5" hidden="1">
      <c r="A265" s="470"/>
      <c r="B265" s="435"/>
      <c r="C265" s="528">
        <v>4420</v>
      </c>
      <c r="D265" s="529" t="s">
        <v>358</v>
      </c>
      <c r="E265" s="507">
        <f t="shared" si="45"/>
        <v>0</v>
      </c>
      <c r="F265" s="512">
        <f t="shared" si="49"/>
        <v>0</v>
      </c>
      <c r="G265" s="512"/>
      <c r="H265" s="512"/>
      <c r="I265" s="512"/>
      <c r="J265" s="512"/>
      <c r="K265" s="512"/>
      <c r="L265" s="512"/>
      <c r="M265" s="512"/>
      <c r="N265" s="512"/>
    </row>
    <row r="266" spans="1:14" s="341" customFormat="1" ht="15">
      <c r="A266" s="470"/>
      <c r="B266" s="435"/>
      <c r="C266" s="453">
        <v>4430</v>
      </c>
      <c r="D266" s="511" t="s">
        <v>668</v>
      </c>
      <c r="E266" s="507">
        <f t="shared" si="45"/>
        <v>31670</v>
      </c>
      <c r="F266" s="512">
        <f t="shared" si="49"/>
        <v>31670</v>
      </c>
      <c r="G266" s="512"/>
      <c r="H266" s="512"/>
      <c r="I266" s="512"/>
      <c r="J266" s="512"/>
      <c r="K266" s="512"/>
      <c r="L266" s="512"/>
      <c r="M266" s="512">
        <v>31670</v>
      </c>
      <c r="N266" s="512"/>
    </row>
    <row r="267" spans="1:14" s="341" customFormat="1" ht="38.25">
      <c r="A267" s="470"/>
      <c r="B267" s="435"/>
      <c r="C267" s="453">
        <v>4440</v>
      </c>
      <c r="D267" s="511" t="s">
        <v>669</v>
      </c>
      <c r="E267" s="507">
        <f t="shared" si="45"/>
        <v>253810</v>
      </c>
      <c r="F267" s="512">
        <f t="shared" si="49"/>
        <v>253810</v>
      </c>
      <c r="G267" s="512"/>
      <c r="H267" s="512"/>
      <c r="I267" s="512"/>
      <c r="J267" s="512"/>
      <c r="K267" s="512"/>
      <c r="L267" s="512"/>
      <c r="M267" s="512">
        <v>253810</v>
      </c>
      <c r="N267" s="512"/>
    </row>
    <row r="268" spans="1:14" s="341" customFormat="1" ht="25.5">
      <c r="A268" s="470"/>
      <c r="B268" s="435"/>
      <c r="C268" s="453">
        <v>4510</v>
      </c>
      <c r="D268" s="511" t="s">
        <v>246</v>
      </c>
      <c r="E268" s="507">
        <f aca="true" t="shared" si="51" ref="E268:E331">F268+N268</f>
        <v>820</v>
      </c>
      <c r="F268" s="512">
        <f t="shared" si="49"/>
        <v>820</v>
      </c>
      <c r="G268" s="512"/>
      <c r="H268" s="512"/>
      <c r="I268" s="512"/>
      <c r="J268" s="512"/>
      <c r="K268" s="512"/>
      <c r="L268" s="512"/>
      <c r="M268" s="512">
        <v>820</v>
      </c>
      <c r="N268" s="512"/>
    </row>
    <row r="269" spans="1:14" s="341" customFormat="1" ht="15">
      <c r="A269" s="470"/>
      <c r="B269" s="435"/>
      <c r="C269" s="453">
        <v>4480</v>
      </c>
      <c r="D269" s="511" t="s">
        <v>71</v>
      </c>
      <c r="E269" s="507">
        <f t="shared" si="51"/>
        <v>2370</v>
      </c>
      <c r="F269" s="512">
        <f t="shared" si="49"/>
        <v>2370</v>
      </c>
      <c r="G269" s="512"/>
      <c r="H269" s="512"/>
      <c r="I269" s="512"/>
      <c r="J269" s="512"/>
      <c r="K269" s="512"/>
      <c r="L269" s="512"/>
      <c r="M269" s="512">
        <v>2370</v>
      </c>
      <c r="N269" s="512"/>
    </row>
    <row r="270" spans="1:14" s="341" customFormat="1" ht="51" customHeight="1">
      <c r="A270" s="470"/>
      <c r="B270" s="435"/>
      <c r="C270" s="453">
        <v>4500</v>
      </c>
      <c r="D270" s="511" t="s">
        <v>35</v>
      </c>
      <c r="E270" s="507">
        <f t="shared" si="51"/>
        <v>8200</v>
      </c>
      <c r="F270" s="512">
        <f t="shared" si="49"/>
        <v>8200</v>
      </c>
      <c r="G270" s="512"/>
      <c r="H270" s="512"/>
      <c r="I270" s="512"/>
      <c r="J270" s="512"/>
      <c r="K270" s="512"/>
      <c r="L270" s="512"/>
      <c r="M270" s="512">
        <v>8200</v>
      </c>
      <c r="N270" s="512"/>
    </row>
    <row r="271" spans="1:14" s="341" customFormat="1" ht="50.25" customHeight="1">
      <c r="A271" s="470"/>
      <c r="B271" s="435"/>
      <c r="C271" s="453">
        <v>4700</v>
      </c>
      <c r="D271" s="511" t="s">
        <v>210</v>
      </c>
      <c r="E271" s="507">
        <f t="shared" si="51"/>
        <v>1050</v>
      </c>
      <c r="F271" s="512">
        <f t="shared" si="49"/>
        <v>1050</v>
      </c>
      <c r="G271" s="512"/>
      <c r="H271" s="512"/>
      <c r="I271" s="512"/>
      <c r="J271" s="512"/>
      <c r="K271" s="512"/>
      <c r="L271" s="512"/>
      <c r="M271" s="512">
        <v>1050</v>
      </c>
      <c r="N271" s="512"/>
    </row>
    <row r="272" spans="1:14" s="341" customFormat="1" ht="51">
      <c r="A272" s="470"/>
      <c r="B272" s="435"/>
      <c r="C272" s="453">
        <v>4740</v>
      </c>
      <c r="D272" s="511" t="s">
        <v>24</v>
      </c>
      <c r="E272" s="507">
        <f t="shared" si="51"/>
        <v>10030</v>
      </c>
      <c r="F272" s="512">
        <f t="shared" si="49"/>
        <v>10030</v>
      </c>
      <c r="G272" s="512"/>
      <c r="H272" s="512"/>
      <c r="I272" s="512"/>
      <c r="J272" s="512"/>
      <c r="K272" s="512"/>
      <c r="L272" s="512"/>
      <c r="M272" s="512">
        <v>10030</v>
      </c>
      <c r="N272" s="512"/>
    </row>
    <row r="273" spans="1:14" s="341" customFormat="1" ht="38.25">
      <c r="A273" s="470"/>
      <c r="B273" s="435"/>
      <c r="C273" s="453">
        <v>4750</v>
      </c>
      <c r="D273" s="511" t="s">
        <v>64</v>
      </c>
      <c r="E273" s="507">
        <f t="shared" si="51"/>
        <v>27260</v>
      </c>
      <c r="F273" s="512">
        <f t="shared" si="49"/>
        <v>27260</v>
      </c>
      <c r="G273" s="512"/>
      <c r="H273" s="512"/>
      <c r="I273" s="512"/>
      <c r="J273" s="512"/>
      <c r="K273" s="512"/>
      <c r="L273" s="512"/>
      <c r="M273" s="512">
        <v>27260</v>
      </c>
      <c r="N273" s="512"/>
    </row>
    <row r="274" spans="1:14" s="341" customFormat="1" ht="38.25" hidden="1">
      <c r="A274" s="470"/>
      <c r="B274" s="435"/>
      <c r="C274" s="453">
        <v>4610</v>
      </c>
      <c r="D274" s="511" t="s">
        <v>36</v>
      </c>
      <c r="E274" s="507">
        <f t="shared" si="51"/>
        <v>0</v>
      </c>
      <c r="F274" s="512">
        <f t="shared" si="49"/>
        <v>0</v>
      </c>
      <c r="G274" s="512"/>
      <c r="H274" s="512"/>
      <c r="I274" s="512"/>
      <c r="J274" s="512"/>
      <c r="K274" s="512"/>
      <c r="L274" s="512"/>
      <c r="M274" s="512"/>
      <c r="N274" s="512"/>
    </row>
    <row r="275" spans="1:14" s="341" customFormat="1" ht="37.5" customHeight="1">
      <c r="A275" s="470"/>
      <c r="B275" s="435"/>
      <c r="C275" s="453">
        <v>6050</v>
      </c>
      <c r="D275" s="517" t="s">
        <v>673</v>
      </c>
      <c r="E275" s="507">
        <f t="shared" si="51"/>
        <v>440000</v>
      </c>
      <c r="F275" s="512">
        <f t="shared" si="49"/>
        <v>0</v>
      </c>
      <c r="G275" s="512"/>
      <c r="H275" s="512"/>
      <c r="I275" s="512"/>
      <c r="J275" s="512"/>
      <c r="K275" s="512"/>
      <c r="L275" s="512"/>
      <c r="M275" s="512"/>
      <c r="N275" s="512">
        <v>440000</v>
      </c>
    </row>
    <row r="276" spans="1:14" s="341" customFormat="1" ht="38.25">
      <c r="A276" s="470"/>
      <c r="B276" s="435"/>
      <c r="C276" s="453">
        <v>6060</v>
      </c>
      <c r="D276" s="517" t="s">
        <v>212</v>
      </c>
      <c r="E276" s="507">
        <f t="shared" si="51"/>
        <v>0</v>
      </c>
      <c r="F276" s="512">
        <f t="shared" si="49"/>
        <v>0</v>
      </c>
      <c r="G276" s="512"/>
      <c r="H276" s="512"/>
      <c r="I276" s="512"/>
      <c r="J276" s="512"/>
      <c r="K276" s="512"/>
      <c r="L276" s="512"/>
      <c r="M276" s="512"/>
      <c r="N276" s="512"/>
    </row>
    <row r="277" spans="1:14" s="343" customFormat="1" ht="15.75">
      <c r="A277" s="432"/>
      <c r="B277" s="442">
        <v>80132</v>
      </c>
      <c r="C277" s="443"/>
      <c r="D277" s="444" t="s">
        <v>72</v>
      </c>
      <c r="E277" s="507">
        <f t="shared" si="51"/>
        <v>1602002</v>
      </c>
      <c r="F277" s="510">
        <f t="shared" si="49"/>
        <v>1602002</v>
      </c>
      <c r="G277" s="510">
        <f aca="true" t="shared" si="52" ref="G277:N277">SUM(G278:G299)</f>
        <v>1089912</v>
      </c>
      <c r="H277" s="510">
        <f t="shared" si="52"/>
        <v>78910</v>
      </c>
      <c r="I277" s="510">
        <f t="shared" si="52"/>
        <v>201800</v>
      </c>
      <c r="J277" s="510">
        <f t="shared" si="52"/>
        <v>0</v>
      </c>
      <c r="K277" s="510">
        <f t="shared" si="52"/>
        <v>0</v>
      </c>
      <c r="L277" s="510">
        <f t="shared" si="52"/>
        <v>0</v>
      </c>
      <c r="M277" s="510">
        <f t="shared" si="52"/>
        <v>231380</v>
      </c>
      <c r="N277" s="510">
        <f t="shared" si="52"/>
        <v>0</v>
      </c>
    </row>
    <row r="278" spans="1:14" s="341" customFormat="1" ht="25.5">
      <c r="A278" s="470"/>
      <c r="B278" s="435"/>
      <c r="C278" s="453">
        <v>3020</v>
      </c>
      <c r="D278" s="511" t="s">
        <v>211</v>
      </c>
      <c r="E278" s="507">
        <f t="shared" si="51"/>
        <v>37640</v>
      </c>
      <c r="F278" s="512">
        <f t="shared" si="49"/>
        <v>37640</v>
      </c>
      <c r="G278" s="512"/>
      <c r="H278" s="512"/>
      <c r="I278" s="512"/>
      <c r="J278" s="512"/>
      <c r="K278" s="512"/>
      <c r="L278" s="512"/>
      <c r="M278" s="512">
        <v>37640</v>
      </c>
      <c r="N278" s="512"/>
    </row>
    <row r="279" spans="1:14" s="341" customFormat="1" ht="25.5">
      <c r="A279" s="470"/>
      <c r="B279" s="435"/>
      <c r="C279" s="453">
        <v>4010</v>
      </c>
      <c r="D279" s="511" t="s">
        <v>653</v>
      </c>
      <c r="E279" s="507">
        <f t="shared" si="51"/>
        <v>1089912</v>
      </c>
      <c r="F279" s="512">
        <f t="shared" si="49"/>
        <v>1089912</v>
      </c>
      <c r="G279" s="512">
        <v>1089912</v>
      </c>
      <c r="H279" s="512"/>
      <c r="I279" s="512"/>
      <c r="J279" s="512"/>
      <c r="K279" s="512"/>
      <c r="L279" s="512"/>
      <c r="M279" s="512"/>
      <c r="N279" s="512"/>
    </row>
    <row r="280" spans="1:14" s="341" customFormat="1" ht="25.5">
      <c r="A280" s="470"/>
      <c r="B280" s="435"/>
      <c r="C280" s="453">
        <v>4040</v>
      </c>
      <c r="D280" s="511" t="s">
        <v>654</v>
      </c>
      <c r="E280" s="507">
        <f t="shared" si="51"/>
        <v>78910</v>
      </c>
      <c r="F280" s="512">
        <f t="shared" si="49"/>
        <v>78910</v>
      </c>
      <c r="G280" s="512"/>
      <c r="H280" s="512">
        <v>78910</v>
      </c>
      <c r="I280" s="512"/>
      <c r="J280" s="512"/>
      <c r="K280" s="512"/>
      <c r="L280" s="512"/>
      <c r="M280" s="512"/>
      <c r="N280" s="512"/>
    </row>
    <row r="281" spans="1:14" s="341" customFormat="1" ht="25.5">
      <c r="A281" s="470"/>
      <c r="B281" s="435"/>
      <c r="C281" s="453">
        <v>4110</v>
      </c>
      <c r="D281" s="511" t="s">
        <v>59</v>
      </c>
      <c r="E281" s="507">
        <f t="shared" si="51"/>
        <v>173640</v>
      </c>
      <c r="F281" s="512">
        <f t="shared" si="49"/>
        <v>173640</v>
      </c>
      <c r="G281" s="512"/>
      <c r="H281" s="512"/>
      <c r="I281" s="512">
        <v>173640</v>
      </c>
      <c r="J281" s="512"/>
      <c r="K281" s="512"/>
      <c r="L281" s="512"/>
      <c r="M281" s="512"/>
      <c r="N281" s="512"/>
    </row>
    <row r="282" spans="1:14" s="341" customFormat="1" ht="15">
      <c r="A282" s="470"/>
      <c r="B282" s="435"/>
      <c r="C282" s="453">
        <v>4120</v>
      </c>
      <c r="D282" s="511" t="s">
        <v>656</v>
      </c>
      <c r="E282" s="507">
        <f t="shared" si="51"/>
        <v>28160</v>
      </c>
      <c r="F282" s="512">
        <f t="shared" si="49"/>
        <v>28160</v>
      </c>
      <c r="G282" s="512"/>
      <c r="H282" s="512"/>
      <c r="I282" s="512">
        <v>28160</v>
      </c>
      <c r="J282" s="512"/>
      <c r="K282" s="512"/>
      <c r="L282" s="512"/>
      <c r="M282" s="512"/>
      <c r="N282" s="512"/>
    </row>
    <row r="283" spans="1:14" s="341" customFormat="1" ht="34.5" customHeight="1">
      <c r="A283" s="470"/>
      <c r="B283" s="435"/>
      <c r="C283" s="453">
        <v>4170</v>
      </c>
      <c r="D283" s="511" t="s">
        <v>21</v>
      </c>
      <c r="E283" s="507">
        <f t="shared" si="51"/>
        <v>3730</v>
      </c>
      <c r="F283" s="512">
        <f t="shared" si="49"/>
        <v>3730</v>
      </c>
      <c r="G283" s="512"/>
      <c r="H283" s="512"/>
      <c r="I283" s="512"/>
      <c r="J283" s="512"/>
      <c r="K283" s="512"/>
      <c r="L283" s="512"/>
      <c r="M283" s="512">
        <v>3730</v>
      </c>
      <c r="N283" s="512"/>
    </row>
    <row r="284" spans="1:14" s="341" customFormat="1" ht="25.5">
      <c r="A284" s="470"/>
      <c r="B284" s="435"/>
      <c r="C284" s="453">
        <v>4210</v>
      </c>
      <c r="D284" s="511" t="s">
        <v>658</v>
      </c>
      <c r="E284" s="507">
        <f t="shared" si="51"/>
        <v>10930</v>
      </c>
      <c r="F284" s="512">
        <f t="shared" si="49"/>
        <v>10930</v>
      </c>
      <c r="G284" s="512"/>
      <c r="H284" s="512"/>
      <c r="I284" s="512"/>
      <c r="J284" s="512"/>
      <c r="K284" s="512"/>
      <c r="L284" s="512"/>
      <c r="M284" s="512">
        <v>10930</v>
      </c>
      <c r="N284" s="512"/>
    </row>
    <row r="285" spans="1:14" s="341" customFormat="1" ht="25.5" hidden="1">
      <c r="A285" s="470"/>
      <c r="B285" s="452"/>
      <c r="C285" s="453">
        <v>4240</v>
      </c>
      <c r="D285" s="511" t="s">
        <v>69</v>
      </c>
      <c r="E285" s="507">
        <f t="shared" si="51"/>
        <v>0</v>
      </c>
      <c r="F285" s="512">
        <f t="shared" si="49"/>
        <v>0</v>
      </c>
      <c r="G285" s="512"/>
      <c r="H285" s="512"/>
      <c r="I285" s="512"/>
      <c r="J285" s="512"/>
      <c r="K285" s="512"/>
      <c r="L285" s="512"/>
      <c r="M285" s="512"/>
      <c r="N285" s="512"/>
    </row>
    <row r="286" spans="1:14" s="341" customFormat="1" ht="15">
      <c r="A286" s="470"/>
      <c r="B286" s="435"/>
      <c r="C286" s="453">
        <v>4260</v>
      </c>
      <c r="D286" s="511" t="s">
        <v>659</v>
      </c>
      <c r="E286" s="507">
        <f t="shared" si="51"/>
        <v>15080</v>
      </c>
      <c r="F286" s="512">
        <f t="shared" si="49"/>
        <v>15080</v>
      </c>
      <c r="G286" s="512"/>
      <c r="H286" s="512"/>
      <c r="I286" s="512"/>
      <c r="J286" s="512"/>
      <c r="K286" s="512"/>
      <c r="L286" s="512"/>
      <c r="M286" s="512">
        <v>15080</v>
      </c>
      <c r="N286" s="512"/>
    </row>
    <row r="287" spans="1:14" s="341" customFormat="1" ht="15">
      <c r="A287" s="470"/>
      <c r="B287" s="435"/>
      <c r="C287" s="453">
        <v>4270</v>
      </c>
      <c r="D287" s="511" t="s">
        <v>660</v>
      </c>
      <c r="E287" s="507">
        <f t="shared" si="51"/>
        <v>24790</v>
      </c>
      <c r="F287" s="512">
        <f t="shared" si="49"/>
        <v>24790</v>
      </c>
      <c r="G287" s="512"/>
      <c r="H287" s="512"/>
      <c r="I287" s="512"/>
      <c r="J287" s="512"/>
      <c r="K287" s="512"/>
      <c r="L287" s="512"/>
      <c r="M287" s="512">
        <v>24790</v>
      </c>
      <c r="N287" s="512"/>
    </row>
    <row r="288" spans="1:14" s="341" customFormat="1" ht="28.5" customHeight="1">
      <c r="A288" s="470"/>
      <c r="B288" s="435"/>
      <c r="C288" s="453">
        <v>4280</v>
      </c>
      <c r="D288" s="511" t="s">
        <v>661</v>
      </c>
      <c r="E288" s="507">
        <f t="shared" si="51"/>
        <v>1150</v>
      </c>
      <c r="F288" s="512">
        <f t="shared" si="49"/>
        <v>1150</v>
      </c>
      <c r="G288" s="512"/>
      <c r="H288" s="512"/>
      <c r="I288" s="512"/>
      <c r="J288" s="512"/>
      <c r="K288" s="512"/>
      <c r="L288" s="512"/>
      <c r="M288" s="512">
        <v>1150</v>
      </c>
      <c r="N288" s="512"/>
    </row>
    <row r="289" spans="1:14" s="341" customFormat="1" ht="33.75" customHeight="1">
      <c r="A289" s="470"/>
      <c r="B289" s="435"/>
      <c r="C289" s="453">
        <v>4300</v>
      </c>
      <c r="D289" s="511" t="s">
        <v>32</v>
      </c>
      <c r="E289" s="507">
        <f t="shared" si="51"/>
        <v>6710</v>
      </c>
      <c r="F289" s="512">
        <f t="shared" si="49"/>
        <v>6710</v>
      </c>
      <c r="G289" s="512"/>
      <c r="H289" s="512"/>
      <c r="I289" s="512"/>
      <c r="J289" s="512"/>
      <c r="K289" s="512"/>
      <c r="L289" s="512"/>
      <c r="M289" s="512">
        <v>6710</v>
      </c>
      <c r="N289" s="512"/>
    </row>
    <row r="290" spans="1:14" s="341" customFormat="1" ht="25.5">
      <c r="A290" s="470"/>
      <c r="B290" s="435"/>
      <c r="C290" s="453">
        <v>4350</v>
      </c>
      <c r="D290" s="511" t="s">
        <v>662</v>
      </c>
      <c r="E290" s="507">
        <f t="shared" si="51"/>
        <v>1490</v>
      </c>
      <c r="F290" s="512">
        <f t="shared" si="49"/>
        <v>1490</v>
      </c>
      <c r="G290" s="512"/>
      <c r="H290" s="512"/>
      <c r="I290" s="512"/>
      <c r="J290" s="512"/>
      <c r="K290" s="512"/>
      <c r="L290" s="512"/>
      <c r="M290" s="512">
        <v>1490</v>
      </c>
      <c r="N290" s="512"/>
    </row>
    <row r="291" spans="1:14" s="341" customFormat="1" ht="38.25">
      <c r="A291" s="470"/>
      <c r="B291" s="435"/>
      <c r="C291" s="453">
        <v>4370</v>
      </c>
      <c r="D291" s="511" t="s">
        <v>63</v>
      </c>
      <c r="E291" s="507">
        <f t="shared" si="51"/>
        <v>3550</v>
      </c>
      <c r="F291" s="512">
        <f t="shared" si="49"/>
        <v>3550</v>
      </c>
      <c r="G291" s="512"/>
      <c r="H291" s="512"/>
      <c r="I291" s="512"/>
      <c r="J291" s="512"/>
      <c r="K291" s="512"/>
      <c r="L291" s="512"/>
      <c r="M291" s="512">
        <v>3550</v>
      </c>
      <c r="N291" s="512"/>
    </row>
    <row r="292" spans="1:14" s="341" customFormat="1" ht="80.25" customHeight="1">
      <c r="A292" s="470"/>
      <c r="B292" s="435"/>
      <c r="C292" s="453">
        <v>4400</v>
      </c>
      <c r="D292" s="511" t="s">
        <v>362</v>
      </c>
      <c r="E292" s="507">
        <f t="shared" si="51"/>
        <v>39090</v>
      </c>
      <c r="F292" s="512">
        <f t="shared" si="49"/>
        <v>39090</v>
      </c>
      <c r="G292" s="512"/>
      <c r="H292" s="512"/>
      <c r="I292" s="512"/>
      <c r="J292" s="512"/>
      <c r="K292" s="512"/>
      <c r="L292" s="512"/>
      <c r="M292" s="512">
        <v>39090</v>
      </c>
      <c r="N292" s="512"/>
    </row>
    <row r="293" spans="1:14" s="341" customFormat="1" ht="15">
      <c r="A293" s="470"/>
      <c r="B293" s="435"/>
      <c r="C293" s="453">
        <v>4410</v>
      </c>
      <c r="D293" s="511" t="s">
        <v>667</v>
      </c>
      <c r="E293" s="507">
        <f t="shared" si="51"/>
        <v>3870</v>
      </c>
      <c r="F293" s="512">
        <f t="shared" si="49"/>
        <v>3870</v>
      </c>
      <c r="G293" s="512"/>
      <c r="H293" s="512"/>
      <c r="I293" s="512"/>
      <c r="J293" s="512"/>
      <c r="K293" s="512"/>
      <c r="L293" s="512"/>
      <c r="M293" s="512">
        <v>3870</v>
      </c>
      <c r="N293" s="512"/>
    </row>
    <row r="294" spans="1:14" s="341" customFormat="1" ht="15">
      <c r="A294" s="470"/>
      <c r="B294" s="435"/>
      <c r="C294" s="453">
        <v>4430</v>
      </c>
      <c r="D294" s="511" t="s">
        <v>668</v>
      </c>
      <c r="E294" s="507">
        <f t="shared" si="51"/>
        <v>430</v>
      </c>
      <c r="F294" s="512">
        <f t="shared" si="49"/>
        <v>430</v>
      </c>
      <c r="G294" s="512"/>
      <c r="H294" s="512"/>
      <c r="I294" s="512"/>
      <c r="J294" s="512"/>
      <c r="K294" s="512"/>
      <c r="L294" s="512"/>
      <c r="M294" s="512">
        <v>430</v>
      </c>
      <c r="N294" s="512"/>
    </row>
    <row r="295" spans="1:14" s="341" customFormat="1" ht="38.25">
      <c r="A295" s="470"/>
      <c r="B295" s="435"/>
      <c r="C295" s="453">
        <v>4440</v>
      </c>
      <c r="D295" s="511" t="s">
        <v>669</v>
      </c>
      <c r="E295" s="507">
        <f t="shared" si="51"/>
        <v>72800</v>
      </c>
      <c r="F295" s="512">
        <f t="shared" si="49"/>
        <v>72800</v>
      </c>
      <c r="G295" s="512"/>
      <c r="H295" s="512"/>
      <c r="I295" s="512"/>
      <c r="J295" s="512"/>
      <c r="K295" s="512"/>
      <c r="L295" s="512"/>
      <c r="M295" s="512">
        <v>72800</v>
      </c>
      <c r="N295" s="512"/>
    </row>
    <row r="296" spans="1:14" s="341" customFormat="1" ht="25.5">
      <c r="A296" s="470"/>
      <c r="B296" s="435"/>
      <c r="C296" s="453">
        <v>4510</v>
      </c>
      <c r="D296" s="511" t="s">
        <v>246</v>
      </c>
      <c r="E296" s="507">
        <f t="shared" si="51"/>
        <v>210</v>
      </c>
      <c r="F296" s="512">
        <f t="shared" si="49"/>
        <v>210</v>
      </c>
      <c r="G296" s="512"/>
      <c r="H296" s="512"/>
      <c r="I296" s="512"/>
      <c r="J296" s="512"/>
      <c r="K296" s="512"/>
      <c r="L296" s="512"/>
      <c r="M296" s="512">
        <v>210</v>
      </c>
      <c r="N296" s="512"/>
    </row>
    <row r="297" spans="1:14" s="341" customFormat="1" ht="38.25">
      <c r="A297" s="470"/>
      <c r="B297" s="435"/>
      <c r="C297" s="453">
        <v>4700</v>
      </c>
      <c r="D297" s="511" t="s">
        <v>210</v>
      </c>
      <c r="E297" s="507">
        <f t="shared" si="51"/>
        <v>1500</v>
      </c>
      <c r="F297" s="512">
        <f t="shared" si="49"/>
        <v>1500</v>
      </c>
      <c r="G297" s="512"/>
      <c r="H297" s="512"/>
      <c r="I297" s="512"/>
      <c r="J297" s="512"/>
      <c r="K297" s="512"/>
      <c r="L297" s="512"/>
      <c r="M297" s="512">
        <v>1500</v>
      </c>
      <c r="N297" s="512"/>
    </row>
    <row r="298" spans="1:14" s="341" customFormat="1" ht="51">
      <c r="A298" s="470"/>
      <c r="B298" s="435"/>
      <c r="C298" s="453">
        <v>4740</v>
      </c>
      <c r="D298" s="511" t="s">
        <v>24</v>
      </c>
      <c r="E298" s="507">
        <f t="shared" si="51"/>
        <v>1370</v>
      </c>
      <c r="F298" s="512">
        <f t="shared" si="49"/>
        <v>1370</v>
      </c>
      <c r="G298" s="512"/>
      <c r="H298" s="512"/>
      <c r="I298" s="512"/>
      <c r="J298" s="512"/>
      <c r="K298" s="512"/>
      <c r="L298" s="512"/>
      <c r="M298" s="512">
        <v>1370</v>
      </c>
      <c r="N298" s="512"/>
    </row>
    <row r="299" spans="1:14" s="341" customFormat="1" ht="38.25">
      <c r="A299" s="470"/>
      <c r="B299" s="435"/>
      <c r="C299" s="453">
        <v>4750</v>
      </c>
      <c r="D299" s="511" t="s">
        <v>64</v>
      </c>
      <c r="E299" s="507">
        <f t="shared" si="51"/>
        <v>7040</v>
      </c>
      <c r="F299" s="512">
        <f t="shared" si="49"/>
        <v>7040</v>
      </c>
      <c r="G299" s="512"/>
      <c r="H299" s="512"/>
      <c r="I299" s="512"/>
      <c r="J299" s="512"/>
      <c r="K299" s="512"/>
      <c r="L299" s="512"/>
      <c r="M299" s="512">
        <v>7040</v>
      </c>
      <c r="N299" s="512"/>
    </row>
    <row r="300" spans="1:14" s="341" customFormat="1" ht="38.25" hidden="1">
      <c r="A300" s="470"/>
      <c r="B300" s="435"/>
      <c r="C300" s="453">
        <v>6060</v>
      </c>
      <c r="D300" s="511" t="s">
        <v>212</v>
      </c>
      <c r="E300" s="507">
        <f t="shared" si="51"/>
        <v>0</v>
      </c>
      <c r="F300" s="512"/>
      <c r="G300" s="512"/>
      <c r="H300" s="512"/>
      <c r="I300" s="512"/>
      <c r="J300" s="512"/>
      <c r="K300" s="512"/>
      <c r="L300" s="512"/>
      <c r="M300" s="512"/>
      <c r="N300" s="512"/>
    </row>
    <row r="301" spans="1:14" s="343" customFormat="1" ht="25.5">
      <c r="A301" s="432"/>
      <c r="B301" s="442">
        <v>80134</v>
      </c>
      <c r="C301" s="443"/>
      <c r="D301" s="444" t="s">
        <v>73</v>
      </c>
      <c r="E301" s="507">
        <f t="shared" si="51"/>
        <v>494841</v>
      </c>
      <c r="F301" s="510">
        <f t="shared" si="49"/>
        <v>494841</v>
      </c>
      <c r="G301" s="510">
        <f>SUM(G302:G307)</f>
        <v>374961</v>
      </c>
      <c r="H301" s="510">
        <f aca="true" t="shared" si="53" ref="H301:N301">SUM(H302:H307)</f>
        <v>29400</v>
      </c>
      <c r="I301" s="510">
        <f t="shared" si="53"/>
        <v>73690</v>
      </c>
      <c r="J301" s="510">
        <f t="shared" si="53"/>
        <v>0</v>
      </c>
      <c r="K301" s="510">
        <f t="shared" si="53"/>
        <v>0</v>
      </c>
      <c r="L301" s="510">
        <f t="shared" si="53"/>
        <v>0</v>
      </c>
      <c r="M301" s="510">
        <f t="shared" si="53"/>
        <v>16790</v>
      </c>
      <c r="N301" s="510">
        <f t="shared" si="53"/>
        <v>0</v>
      </c>
    </row>
    <row r="302" spans="1:14" s="341" customFormat="1" ht="25.5">
      <c r="A302" s="470"/>
      <c r="B302" s="435"/>
      <c r="C302" s="453">
        <v>3020</v>
      </c>
      <c r="D302" s="511" t="s">
        <v>211</v>
      </c>
      <c r="E302" s="507">
        <f t="shared" si="51"/>
        <v>1190</v>
      </c>
      <c r="F302" s="512">
        <f t="shared" si="49"/>
        <v>1190</v>
      </c>
      <c r="G302" s="512"/>
      <c r="H302" s="512"/>
      <c r="I302" s="512"/>
      <c r="J302" s="512"/>
      <c r="K302" s="512"/>
      <c r="L302" s="512"/>
      <c r="M302" s="512">
        <v>1190</v>
      </c>
      <c r="N302" s="512"/>
    </row>
    <row r="303" spans="1:14" s="341" customFormat="1" ht="25.5">
      <c r="A303" s="470"/>
      <c r="B303" s="435"/>
      <c r="C303" s="453">
        <v>4010</v>
      </c>
      <c r="D303" s="511" t="s">
        <v>653</v>
      </c>
      <c r="E303" s="507">
        <f t="shared" si="51"/>
        <v>374961</v>
      </c>
      <c r="F303" s="512">
        <f t="shared" si="49"/>
        <v>374961</v>
      </c>
      <c r="G303" s="512">
        <v>374961</v>
      </c>
      <c r="H303" s="512"/>
      <c r="I303" s="512"/>
      <c r="J303" s="512"/>
      <c r="K303" s="512"/>
      <c r="L303" s="512"/>
      <c r="M303" s="512"/>
      <c r="N303" s="512"/>
    </row>
    <row r="304" spans="1:14" s="341" customFormat="1" ht="39.75" customHeight="1">
      <c r="A304" s="470"/>
      <c r="B304" s="435"/>
      <c r="C304" s="453">
        <v>4040</v>
      </c>
      <c r="D304" s="511" t="s">
        <v>654</v>
      </c>
      <c r="E304" s="507">
        <f t="shared" si="51"/>
        <v>29400</v>
      </c>
      <c r="F304" s="512">
        <f t="shared" si="49"/>
        <v>29400</v>
      </c>
      <c r="G304" s="512"/>
      <c r="H304" s="512">
        <v>29400</v>
      </c>
      <c r="I304" s="512"/>
      <c r="J304" s="512"/>
      <c r="K304" s="512"/>
      <c r="L304" s="512"/>
      <c r="M304" s="512"/>
      <c r="N304" s="512"/>
    </row>
    <row r="305" spans="1:14" s="341" customFormat="1" ht="32.25" customHeight="1">
      <c r="A305" s="470"/>
      <c r="B305" s="435"/>
      <c r="C305" s="453">
        <v>4110</v>
      </c>
      <c r="D305" s="511" t="s">
        <v>59</v>
      </c>
      <c r="E305" s="507">
        <f t="shared" si="51"/>
        <v>63460</v>
      </c>
      <c r="F305" s="512">
        <f t="shared" si="49"/>
        <v>63460</v>
      </c>
      <c r="G305" s="512"/>
      <c r="H305" s="512"/>
      <c r="I305" s="512">
        <v>63460</v>
      </c>
      <c r="J305" s="512"/>
      <c r="K305" s="512"/>
      <c r="L305" s="512"/>
      <c r="M305" s="512"/>
      <c r="N305" s="512"/>
    </row>
    <row r="306" spans="1:14" s="341" customFormat="1" ht="35.25" customHeight="1">
      <c r="A306" s="470"/>
      <c r="B306" s="435"/>
      <c r="C306" s="453">
        <v>4120</v>
      </c>
      <c r="D306" s="511" t="s">
        <v>656</v>
      </c>
      <c r="E306" s="507">
        <f t="shared" si="51"/>
        <v>10230</v>
      </c>
      <c r="F306" s="512">
        <f t="shared" si="49"/>
        <v>10230</v>
      </c>
      <c r="G306" s="512"/>
      <c r="H306" s="512"/>
      <c r="I306" s="512">
        <v>10230</v>
      </c>
      <c r="J306" s="512"/>
      <c r="K306" s="512"/>
      <c r="L306" s="512"/>
      <c r="M306" s="512"/>
      <c r="N306" s="512"/>
    </row>
    <row r="307" spans="1:14" s="341" customFormat="1" ht="38.25">
      <c r="A307" s="470"/>
      <c r="B307" s="435"/>
      <c r="C307" s="453">
        <v>4440</v>
      </c>
      <c r="D307" s="511" t="s">
        <v>669</v>
      </c>
      <c r="E307" s="507">
        <f t="shared" si="51"/>
        <v>15600</v>
      </c>
      <c r="F307" s="512">
        <f>SUM(G307:M307)</f>
        <v>15600</v>
      </c>
      <c r="G307" s="512"/>
      <c r="H307" s="512"/>
      <c r="I307" s="512"/>
      <c r="J307" s="512"/>
      <c r="K307" s="512"/>
      <c r="L307" s="512"/>
      <c r="M307" s="512">
        <v>15600</v>
      </c>
      <c r="N307" s="512"/>
    </row>
    <row r="308" spans="1:14" s="343" customFormat="1" ht="25.5">
      <c r="A308" s="532"/>
      <c r="B308" s="442">
        <v>80146</v>
      </c>
      <c r="C308" s="443"/>
      <c r="D308" s="444" t="s">
        <v>74</v>
      </c>
      <c r="E308" s="507">
        <f t="shared" si="51"/>
        <v>81070</v>
      </c>
      <c r="F308" s="510">
        <f aca="true" t="shared" si="54" ref="F308:F400">SUM(G308:M308)</f>
        <v>81070</v>
      </c>
      <c r="G308" s="510">
        <f aca="true" t="shared" si="55" ref="G308:N308">SUM(G309:G312)</f>
        <v>0</v>
      </c>
      <c r="H308" s="510">
        <f t="shared" si="55"/>
        <v>0</v>
      </c>
      <c r="I308" s="510">
        <f t="shared" si="55"/>
        <v>0</v>
      </c>
      <c r="J308" s="510">
        <f t="shared" si="55"/>
        <v>10000</v>
      </c>
      <c r="K308" s="510">
        <f t="shared" si="55"/>
        <v>0</v>
      </c>
      <c r="L308" s="510">
        <f t="shared" si="55"/>
        <v>0</v>
      </c>
      <c r="M308" s="510">
        <f t="shared" si="55"/>
        <v>71070</v>
      </c>
      <c r="N308" s="510">
        <f t="shared" si="55"/>
        <v>0</v>
      </c>
    </row>
    <row r="309" spans="1:14" s="341" customFormat="1" ht="110.25" customHeight="1">
      <c r="A309" s="470"/>
      <c r="B309" s="435"/>
      <c r="C309" s="453">
        <v>2310</v>
      </c>
      <c r="D309" s="511" t="s">
        <v>78</v>
      </c>
      <c r="E309" s="507">
        <f t="shared" si="51"/>
        <v>10000</v>
      </c>
      <c r="F309" s="512">
        <f t="shared" si="54"/>
        <v>10000</v>
      </c>
      <c r="G309" s="512"/>
      <c r="H309" s="512"/>
      <c r="I309" s="512"/>
      <c r="J309" s="512">
        <v>10000</v>
      </c>
      <c r="K309" s="512"/>
      <c r="L309" s="512"/>
      <c r="M309" s="512" t="s">
        <v>459</v>
      </c>
      <c r="N309" s="512"/>
    </row>
    <row r="310" spans="1:14" s="341" customFormat="1" ht="25.5">
      <c r="A310" s="470"/>
      <c r="B310" s="435"/>
      <c r="C310" s="453">
        <v>4170</v>
      </c>
      <c r="D310" s="511" t="s">
        <v>44</v>
      </c>
      <c r="E310" s="507">
        <f t="shared" si="51"/>
        <v>0</v>
      </c>
      <c r="F310" s="512">
        <f t="shared" si="54"/>
        <v>0</v>
      </c>
      <c r="G310" s="512"/>
      <c r="H310" s="512"/>
      <c r="I310" s="512"/>
      <c r="J310" s="512"/>
      <c r="K310" s="512"/>
      <c r="L310" s="512"/>
      <c r="M310" s="512"/>
      <c r="N310" s="512"/>
    </row>
    <row r="311" spans="1:14" s="341" customFormat="1" ht="30.75" customHeight="1">
      <c r="A311" s="470"/>
      <c r="B311" s="435"/>
      <c r="C311" s="453">
        <v>4300</v>
      </c>
      <c r="D311" s="511" t="s">
        <v>32</v>
      </c>
      <c r="E311" s="507">
        <f t="shared" si="51"/>
        <v>60000</v>
      </c>
      <c r="F311" s="512">
        <f t="shared" si="54"/>
        <v>60000</v>
      </c>
      <c r="G311" s="512"/>
      <c r="H311" s="512"/>
      <c r="I311" s="512"/>
      <c r="J311" s="512"/>
      <c r="K311" s="512"/>
      <c r="L311" s="512"/>
      <c r="M311" s="512">
        <v>60000</v>
      </c>
      <c r="N311" s="512"/>
    </row>
    <row r="312" spans="1:14" s="341" customFormat="1" ht="15">
      <c r="A312" s="470"/>
      <c r="B312" s="435"/>
      <c r="C312" s="453">
        <v>4410</v>
      </c>
      <c r="D312" s="511" t="s">
        <v>667</v>
      </c>
      <c r="E312" s="507">
        <f t="shared" si="51"/>
        <v>11070</v>
      </c>
      <c r="F312" s="512">
        <f t="shared" si="54"/>
        <v>11070</v>
      </c>
      <c r="G312" s="512"/>
      <c r="H312" s="512"/>
      <c r="I312" s="512"/>
      <c r="J312" s="512"/>
      <c r="K312" s="512"/>
      <c r="L312" s="512"/>
      <c r="M312" s="512">
        <v>11070</v>
      </c>
      <c r="N312" s="512"/>
    </row>
    <row r="313" spans="1:14" s="341" customFormat="1" ht="15">
      <c r="A313" s="470"/>
      <c r="B313" s="442">
        <v>80148</v>
      </c>
      <c r="C313" s="446"/>
      <c r="D313" s="444" t="s">
        <v>76</v>
      </c>
      <c r="E313" s="507">
        <f t="shared" si="51"/>
        <v>387190</v>
      </c>
      <c r="F313" s="510">
        <f aca="true" t="shared" si="56" ref="F313:F325">SUM(G313:M313)</f>
        <v>387190</v>
      </c>
      <c r="G313" s="510">
        <f aca="true" t="shared" si="57" ref="G313:N313">SUM(G314:G325)</f>
        <v>217970</v>
      </c>
      <c r="H313" s="510">
        <f t="shared" si="57"/>
        <v>17780</v>
      </c>
      <c r="I313" s="510">
        <f t="shared" si="57"/>
        <v>40680</v>
      </c>
      <c r="J313" s="510">
        <f t="shared" si="57"/>
        <v>0</v>
      </c>
      <c r="K313" s="510">
        <f t="shared" si="57"/>
        <v>0</v>
      </c>
      <c r="L313" s="510">
        <f t="shared" si="57"/>
        <v>0</v>
      </c>
      <c r="M313" s="510">
        <f t="shared" si="57"/>
        <v>110760</v>
      </c>
      <c r="N313" s="510">
        <f t="shared" si="57"/>
        <v>0</v>
      </c>
    </row>
    <row r="314" spans="1:14" s="341" customFormat="1" ht="25.5">
      <c r="A314" s="470"/>
      <c r="B314" s="435"/>
      <c r="C314" s="453">
        <v>3020</v>
      </c>
      <c r="D314" s="511" t="s">
        <v>211</v>
      </c>
      <c r="E314" s="507">
        <f t="shared" si="51"/>
        <v>4650</v>
      </c>
      <c r="F314" s="512">
        <f t="shared" si="56"/>
        <v>4650</v>
      </c>
      <c r="G314" s="512"/>
      <c r="H314" s="512"/>
      <c r="I314" s="512"/>
      <c r="J314" s="512"/>
      <c r="K314" s="512"/>
      <c r="L314" s="512"/>
      <c r="M314" s="512">
        <v>4650</v>
      </c>
      <c r="N314" s="512"/>
    </row>
    <row r="315" spans="1:14" s="341" customFormat="1" ht="34.5" customHeight="1">
      <c r="A315" s="470"/>
      <c r="B315" s="435"/>
      <c r="C315" s="453">
        <v>4010</v>
      </c>
      <c r="D315" s="511" t="s">
        <v>653</v>
      </c>
      <c r="E315" s="507">
        <f t="shared" si="51"/>
        <v>217970</v>
      </c>
      <c r="F315" s="512">
        <f t="shared" si="56"/>
        <v>217970</v>
      </c>
      <c r="G315" s="512">
        <v>217970</v>
      </c>
      <c r="H315" s="512"/>
      <c r="I315" s="512"/>
      <c r="J315" s="512"/>
      <c r="K315" s="512"/>
      <c r="L315" s="512"/>
      <c r="M315" s="512"/>
      <c r="N315" s="512"/>
    </row>
    <row r="316" spans="1:14" s="341" customFormat="1" ht="31.5" customHeight="1">
      <c r="A316" s="470"/>
      <c r="B316" s="435"/>
      <c r="C316" s="453">
        <v>4040</v>
      </c>
      <c r="D316" s="511" t="s">
        <v>654</v>
      </c>
      <c r="E316" s="507">
        <f t="shared" si="51"/>
        <v>17780</v>
      </c>
      <c r="F316" s="512">
        <f t="shared" si="56"/>
        <v>17780</v>
      </c>
      <c r="G316" s="512"/>
      <c r="H316" s="512">
        <v>17780</v>
      </c>
      <c r="I316" s="512"/>
      <c r="J316" s="512"/>
      <c r="K316" s="512"/>
      <c r="L316" s="512"/>
      <c r="M316" s="512"/>
      <c r="N316" s="512"/>
    </row>
    <row r="317" spans="1:14" s="341" customFormat="1" ht="35.25" customHeight="1">
      <c r="A317" s="470"/>
      <c r="B317" s="435"/>
      <c r="C317" s="453">
        <v>4110</v>
      </c>
      <c r="D317" s="511" t="s">
        <v>59</v>
      </c>
      <c r="E317" s="507">
        <f t="shared" si="51"/>
        <v>35020</v>
      </c>
      <c r="F317" s="512">
        <f t="shared" si="56"/>
        <v>35020</v>
      </c>
      <c r="G317" s="512"/>
      <c r="H317" s="512"/>
      <c r="I317" s="512">
        <v>35020</v>
      </c>
      <c r="J317" s="512"/>
      <c r="K317" s="512"/>
      <c r="L317" s="512"/>
      <c r="M317" s="512"/>
      <c r="N317" s="512"/>
    </row>
    <row r="318" spans="1:14" s="341" customFormat="1" ht="15">
      <c r="A318" s="470"/>
      <c r="B318" s="435"/>
      <c r="C318" s="453">
        <v>4120</v>
      </c>
      <c r="D318" s="511" t="s">
        <v>656</v>
      </c>
      <c r="E318" s="507">
        <f t="shared" si="51"/>
        <v>5660</v>
      </c>
      <c r="F318" s="512">
        <f t="shared" si="56"/>
        <v>5660</v>
      </c>
      <c r="G318" s="512"/>
      <c r="H318" s="512"/>
      <c r="I318" s="512">
        <v>5660</v>
      </c>
      <c r="J318" s="512"/>
      <c r="K318" s="512"/>
      <c r="L318" s="512"/>
      <c r="M318" s="512"/>
      <c r="N318" s="512"/>
    </row>
    <row r="319" spans="1:14" s="341" customFormat="1" ht="38.25" customHeight="1">
      <c r="A319" s="470"/>
      <c r="B319" s="435"/>
      <c r="C319" s="453">
        <v>4210</v>
      </c>
      <c r="D319" s="511" t="s">
        <v>658</v>
      </c>
      <c r="E319" s="507">
        <f t="shared" si="51"/>
        <v>73690</v>
      </c>
      <c r="F319" s="512">
        <f t="shared" si="56"/>
        <v>73690</v>
      </c>
      <c r="G319" s="512"/>
      <c r="H319" s="512"/>
      <c r="I319" s="512"/>
      <c r="J319" s="512"/>
      <c r="K319" s="512"/>
      <c r="L319" s="512"/>
      <c r="M319" s="512">
        <v>73690</v>
      </c>
      <c r="N319" s="512"/>
    </row>
    <row r="320" spans="1:14" s="341" customFormat="1" ht="15">
      <c r="A320" s="470"/>
      <c r="B320" s="435"/>
      <c r="C320" s="453">
        <v>4260</v>
      </c>
      <c r="D320" s="511" t="s">
        <v>659</v>
      </c>
      <c r="E320" s="507">
        <f t="shared" si="51"/>
        <v>18370</v>
      </c>
      <c r="F320" s="512">
        <f t="shared" si="56"/>
        <v>18370</v>
      </c>
      <c r="G320" s="512"/>
      <c r="H320" s="512"/>
      <c r="I320" s="512"/>
      <c r="J320" s="512"/>
      <c r="K320" s="512"/>
      <c r="L320" s="512"/>
      <c r="M320" s="512">
        <v>18370</v>
      </c>
      <c r="N320" s="512"/>
    </row>
    <row r="321" spans="1:14" s="341" customFormat="1" ht="15">
      <c r="A321" s="470"/>
      <c r="B321" s="435"/>
      <c r="C321" s="453">
        <v>4270</v>
      </c>
      <c r="D321" s="511" t="s">
        <v>660</v>
      </c>
      <c r="E321" s="507">
        <f t="shared" si="51"/>
        <v>590</v>
      </c>
      <c r="F321" s="512">
        <f t="shared" si="56"/>
        <v>590</v>
      </c>
      <c r="G321" s="512"/>
      <c r="H321" s="512"/>
      <c r="I321" s="512"/>
      <c r="J321" s="512"/>
      <c r="K321" s="512"/>
      <c r="L321" s="512"/>
      <c r="M321" s="512">
        <v>590</v>
      </c>
      <c r="N321" s="512"/>
    </row>
    <row r="322" spans="1:14" s="341" customFormat="1" ht="42.75" customHeight="1">
      <c r="A322" s="470"/>
      <c r="B322" s="435"/>
      <c r="C322" s="453">
        <v>4280</v>
      </c>
      <c r="D322" s="511" t="s">
        <v>661</v>
      </c>
      <c r="E322" s="507">
        <f t="shared" si="51"/>
        <v>270</v>
      </c>
      <c r="F322" s="512">
        <f t="shared" si="56"/>
        <v>270</v>
      </c>
      <c r="G322" s="512"/>
      <c r="H322" s="512"/>
      <c r="I322" s="512"/>
      <c r="J322" s="512"/>
      <c r="K322" s="512"/>
      <c r="L322" s="512"/>
      <c r="M322" s="512">
        <v>270</v>
      </c>
      <c r="N322" s="512"/>
    </row>
    <row r="323" spans="1:14" s="341" customFormat="1" ht="36" customHeight="1">
      <c r="A323" s="470"/>
      <c r="B323" s="435"/>
      <c r="C323" s="453">
        <v>4300</v>
      </c>
      <c r="D323" s="511" t="s">
        <v>32</v>
      </c>
      <c r="E323" s="507">
        <f t="shared" si="51"/>
        <v>3190</v>
      </c>
      <c r="F323" s="512">
        <f>SUM(G323:M323)</f>
        <v>3190</v>
      </c>
      <c r="G323" s="512"/>
      <c r="H323" s="512"/>
      <c r="I323" s="512"/>
      <c r="J323" s="512"/>
      <c r="K323" s="512"/>
      <c r="L323" s="512"/>
      <c r="M323" s="512">
        <v>3190</v>
      </c>
      <c r="N323" s="512"/>
    </row>
    <row r="324" spans="1:14" s="341" customFormat="1" ht="38.25">
      <c r="A324" s="470"/>
      <c r="B324" s="435"/>
      <c r="C324" s="453">
        <v>4440</v>
      </c>
      <c r="D324" s="511" t="s">
        <v>669</v>
      </c>
      <c r="E324" s="507">
        <f t="shared" si="51"/>
        <v>10000</v>
      </c>
      <c r="F324" s="512">
        <f>SUM(G324:M324)</f>
        <v>10000</v>
      </c>
      <c r="G324" s="512"/>
      <c r="H324" s="512"/>
      <c r="I324" s="512"/>
      <c r="J324" s="512"/>
      <c r="K324" s="512"/>
      <c r="L324" s="512"/>
      <c r="M324" s="512">
        <v>10000</v>
      </c>
      <c r="N324" s="512"/>
    </row>
    <row r="325" spans="1:14" s="341" customFormat="1" ht="38.25" hidden="1">
      <c r="A325" s="470"/>
      <c r="B325" s="435"/>
      <c r="C325" s="453">
        <v>6060</v>
      </c>
      <c r="D325" s="511" t="s">
        <v>212</v>
      </c>
      <c r="E325" s="507">
        <f t="shared" si="51"/>
        <v>0</v>
      </c>
      <c r="F325" s="512">
        <f t="shared" si="56"/>
        <v>0</v>
      </c>
      <c r="G325" s="512"/>
      <c r="H325" s="512"/>
      <c r="I325" s="512"/>
      <c r="J325" s="512"/>
      <c r="K325" s="512"/>
      <c r="L325" s="512"/>
      <c r="M325" s="512"/>
      <c r="N325" s="512"/>
    </row>
    <row r="326" spans="1:14" s="343" customFormat="1" ht="15.75">
      <c r="A326" s="432"/>
      <c r="B326" s="442">
        <v>80195</v>
      </c>
      <c r="C326" s="443"/>
      <c r="D326" s="444" t="s">
        <v>49</v>
      </c>
      <c r="E326" s="507">
        <f t="shared" si="51"/>
        <v>431428</v>
      </c>
      <c r="F326" s="510">
        <f t="shared" si="54"/>
        <v>431428</v>
      </c>
      <c r="G326" s="510">
        <f>SUM(G327:G373)</f>
        <v>241078</v>
      </c>
      <c r="H326" s="510">
        <f aca="true" t="shared" si="58" ref="H326:N326">SUM(H327:H373)</f>
        <v>18270</v>
      </c>
      <c r="I326" s="510">
        <f t="shared" si="58"/>
        <v>45980</v>
      </c>
      <c r="J326" s="510">
        <f t="shared" si="58"/>
        <v>0</v>
      </c>
      <c r="K326" s="510">
        <f t="shared" si="58"/>
        <v>0</v>
      </c>
      <c r="L326" s="510">
        <f>SUM(L327:L373)</f>
        <v>0</v>
      </c>
      <c r="M326" s="510">
        <f t="shared" si="58"/>
        <v>126100</v>
      </c>
      <c r="N326" s="510">
        <f t="shared" si="58"/>
        <v>0</v>
      </c>
    </row>
    <row r="327" spans="1:14" s="341" customFormat="1" ht="25.5">
      <c r="A327" s="470"/>
      <c r="B327" s="435"/>
      <c r="C327" s="453">
        <v>3020</v>
      </c>
      <c r="D327" s="511" t="s">
        <v>211</v>
      </c>
      <c r="E327" s="507">
        <f t="shared" si="51"/>
        <v>1690</v>
      </c>
      <c r="F327" s="512">
        <f t="shared" si="54"/>
        <v>1690</v>
      </c>
      <c r="G327" s="512"/>
      <c r="H327" s="512"/>
      <c r="I327" s="512"/>
      <c r="J327" s="512"/>
      <c r="K327" s="512"/>
      <c r="L327" s="512"/>
      <c r="M327" s="512">
        <v>1690</v>
      </c>
      <c r="N327" s="512"/>
    </row>
    <row r="328" spans="1:14" s="341" customFormat="1" ht="25.5">
      <c r="A328" s="470"/>
      <c r="B328" s="435"/>
      <c r="C328" s="453">
        <v>4010</v>
      </c>
      <c r="D328" s="511" t="s">
        <v>653</v>
      </c>
      <c r="E328" s="507">
        <f t="shared" si="51"/>
        <v>241078</v>
      </c>
      <c r="F328" s="512">
        <f t="shared" si="54"/>
        <v>241078</v>
      </c>
      <c r="G328" s="512">
        <v>241078</v>
      </c>
      <c r="H328" s="512"/>
      <c r="I328" s="512"/>
      <c r="J328" s="512"/>
      <c r="K328" s="512"/>
      <c r="L328" s="512"/>
      <c r="M328" s="512"/>
      <c r="N328" s="512"/>
    </row>
    <row r="329" spans="1:14" s="341" customFormat="1" ht="34.5" customHeight="1">
      <c r="A329" s="470"/>
      <c r="B329" s="435"/>
      <c r="C329" s="453">
        <v>4040</v>
      </c>
      <c r="D329" s="511" t="s">
        <v>654</v>
      </c>
      <c r="E329" s="507">
        <f t="shared" si="51"/>
        <v>18270</v>
      </c>
      <c r="F329" s="512">
        <f t="shared" si="54"/>
        <v>18270</v>
      </c>
      <c r="G329" s="512"/>
      <c r="H329" s="512">
        <v>18270</v>
      </c>
      <c r="I329" s="512"/>
      <c r="J329" s="512"/>
      <c r="K329" s="512"/>
      <c r="L329" s="512"/>
      <c r="M329" s="512"/>
      <c r="N329" s="512"/>
    </row>
    <row r="330" spans="1:14" s="341" customFormat="1" ht="30.75" customHeight="1">
      <c r="A330" s="470"/>
      <c r="B330" s="435"/>
      <c r="C330" s="453">
        <v>4110</v>
      </c>
      <c r="D330" s="511" t="s">
        <v>59</v>
      </c>
      <c r="E330" s="507">
        <f t="shared" si="51"/>
        <v>39720</v>
      </c>
      <c r="F330" s="512">
        <f t="shared" si="54"/>
        <v>39720</v>
      </c>
      <c r="G330" s="512"/>
      <c r="H330" s="512"/>
      <c r="I330" s="512">
        <v>39720</v>
      </c>
      <c r="J330" s="512"/>
      <c r="K330" s="512"/>
      <c r="L330" s="512"/>
      <c r="M330" s="512"/>
      <c r="N330" s="512"/>
    </row>
    <row r="331" spans="1:14" s="341" customFormat="1" ht="15">
      <c r="A331" s="470"/>
      <c r="B331" s="435"/>
      <c r="C331" s="453">
        <v>4120</v>
      </c>
      <c r="D331" s="511" t="s">
        <v>656</v>
      </c>
      <c r="E331" s="507">
        <f t="shared" si="51"/>
        <v>6260</v>
      </c>
      <c r="F331" s="512">
        <f t="shared" si="54"/>
        <v>6260</v>
      </c>
      <c r="G331" s="512"/>
      <c r="H331" s="512"/>
      <c r="I331" s="512">
        <v>6260</v>
      </c>
      <c r="J331" s="512"/>
      <c r="K331" s="512"/>
      <c r="L331" s="512"/>
      <c r="M331" s="512"/>
      <c r="N331" s="512"/>
    </row>
    <row r="332" spans="1:14" s="341" customFormat="1" ht="30" customHeight="1">
      <c r="A332" s="470"/>
      <c r="B332" s="435"/>
      <c r="C332" s="453">
        <v>4170</v>
      </c>
      <c r="D332" s="511" t="s">
        <v>21</v>
      </c>
      <c r="E332" s="507">
        <f aca="true" t="shared" si="59" ref="E332:E397">F332+N332</f>
        <v>4800</v>
      </c>
      <c r="F332" s="512">
        <f t="shared" si="54"/>
        <v>4800</v>
      </c>
      <c r="G332" s="512"/>
      <c r="H332" s="512"/>
      <c r="I332" s="512"/>
      <c r="J332" s="512"/>
      <c r="K332" s="512"/>
      <c r="L332" s="512"/>
      <c r="M332" s="512">
        <v>4800</v>
      </c>
      <c r="N332" s="512"/>
    </row>
    <row r="333" spans="1:14" s="341" customFormat="1" ht="25.5">
      <c r="A333" s="470"/>
      <c r="B333" s="435"/>
      <c r="C333" s="453">
        <v>4210</v>
      </c>
      <c r="D333" s="511" t="s">
        <v>658</v>
      </c>
      <c r="E333" s="507">
        <f t="shared" si="59"/>
        <v>13580</v>
      </c>
      <c r="F333" s="512">
        <f t="shared" si="54"/>
        <v>13580</v>
      </c>
      <c r="G333" s="512"/>
      <c r="H333" s="512"/>
      <c r="I333" s="512"/>
      <c r="J333" s="512"/>
      <c r="K333" s="512"/>
      <c r="L333" s="512"/>
      <c r="M333" s="512">
        <v>13580</v>
      </c>
      <c r="N333" s="512"/>
    </row>
    <row r="334" spans="1:14" s="341" customFormat="1" ht="15">
      <c r="A334" s="470"/>
      <c r="B334" s="435"/>
      <c r="C334" s="453">
        <v>4260</v>
      </c>
      <c r="D334" s="511" t="s">
        <v>659</v>
      </c>
      <c r="E334" s="507">
        <f t="shared" si="59"/>
        <v>6760</v>
      </c>
      <c r="F334" s="512">
        <f t="shared" si="54"/>
        <v>6760</v>
      </c>
      <c r="G334" s="512"/>
      <c r="H334" s="512"/>
      <c r="I334" s="512"/>
      <c r="J334" s="512"/>
      <c r="K334" s="512"/>
      <c r="L334" s="512"/>
      <c r="M334" s="512">
        <v>6760</v>
      </c>
      <c r="N334" s="512"/>
    </row>
    <row r="335" spans="1:14" s="341" customFormat="1" ht="15">
      <c r="A335" s="470"/>
      <c r="B335" s="435"/>
      <c r="C335" s="453">
        <v>4270</v>
      </c>
      <c r="D335" s="511" t="s">
        <v>676</v>
      </c>
      <c r="E335" s="507">
        <f t="shared" si="59"/>
        <v>660</v>
      </c>
      <c r="F335" s="512">
        <f t="shared" si="54"/>
        <v>660</v>
      </c>
      <c r="G335" s="512"/>
      <c r="H335" s="512"/>
      <c r="I335" s="512"/>
      <c r="J335" s="512"/>
      <c r="K335" s="512"/>
      <c r="L335" s="512"/>
      <c r="M335" s="512">
        <v>660</v>
      </c>
      <c r="N335" s="512"/>
    </row>
    <row r="336" spans="1:14" s="341" customFormat="1" ht="27.75" customHeight="1">
      <c r="A336" s="470"/>
      <c r="B336" s="435"/>
      <c r="C336" s="453">
        <v>4280</v>
      </c>
      <c r="D336" s="511" t="s">
        <v>661</v>
      </c>
      <c r="E336" s="507">
        <f t="shared" si="59"/>
        <v>270</v>
      </c>
      <c r="F336" s="512">
        <f t="shared" si="54"/>
        <v>270</v>
      </c>
      <c r="G336" s="512"/>
      <c r="H336" s="512"/>
      <c r="I336" s="512"/>
      <c r="J336" s="512"/>
      <c r="K336" s="512"/>
      <c r="L336" s="512"/>
      <c r="M336" s="512">
        <v>270</v>
      </c>
      <c r="N336" s="512"/>
    </row>
    <row r="337" spans="1:14" s="341" customFormat="1" ht="30.75" customHeight="1">
      <c r="A337" s="470"/>
      <c r="B337" s="435"/>
      <c r="C337" s="453">
        <v>4300</v>
      </c>
      <c r="D337" s="511" t="s">
        <v>79</v>
      </c>
      <c r="E337" s="507">
        <f t="shared" si="59"/>
        <v>9720</v>
      </c>
      <c r="F337" s="512">
        <f t="shared" si="54"/>
        <v>9720</v>
      </c>
      <c r="G337" s="512"/>
      <c r="H337" s="512"/>
      <c r="I337" s="512"/>
      <c r="J337" s="512"/>
      <c r="K337" s="512"/>
      <c r="L337" s="512"/>
      <c r="M337" s="512">
        <v>9720</v>
      </c>
      <c r="N337" s="512"/>
    </row>
    <row r="338" spans="1:14" s="341" customFormat="1" ht="25.5">
      <c r="A338" s="470"/>
      <c r="B338" s="435"/>
      <c r="C338" s="453">
        <v>4350</v>
      </c>
      <c r="D338" s="511" t="s">
        <v>662</v>
      </c>
      <c r="E338" s="507">
        <f t="shared" si="59"/>
        <v>2090</v>
      </c>
      <c r="F338" s="512">
        <f t="shared" si="54"/>
        <v>2090</v>
      </c>
      <c r="G338" s="512"/>
      <c r="H338" s="512"/>
      <c r="I338" s="512"/>
      <c r="J338" s="512"/>
      <c r="K338" s="512"/>
      <c r="L338" s="512"/>
      <c r="M338" s="512">
        <v>2090</v>
      </c>
      <c r="N338" s="512"/>
    </row>
    <row r="339" spans="1:14" s="341" customFormat="1" ht="38.25">
      <c r="A339" s="470"/>
      <c r="B339" s="435"/>
      <c r="C339" s="453">
        <v>4370</v>
      </c>
      <c r="D339" s="511" t="s">
        <v>63</v>
      </c>
      <c r="E339" s="507">
        <f t="shared" si="59"/>
        <v>4330</v>
      </c>
      <c r="F339" s="512">
        <f t="shared" si="54"/>
        <v>4330</v>
      </c>
      <c r="G339" s="512"/>
      <c r="H339" s="512"/>
      <c r="I339" s="512"/>
      <c r="J339" s="512"/>
      <c r="K339" s="512"/>
      <c r="L339" s="512"/>
      <c r="M339" s="512">
        <v>4330</v>
      </c>
      <c r="N339" s="512"/>
    </row>
    <row r="340" spans="1:14" s="341" customFormat="1" ht="15">
      <c r="A340" s="470"/>
      <c r="B340" s="435"/>
      <c r="C340" s="453">
        <v>4410</v>
      </c>
      <c r="D340" s="511" t="s">
        <v>667</v>
      </c>
      <c r="E340" s="507">
        <f t="shared" si="59"/>
        <v>1130</v>
      </c>
      <c r="F340" s="512">
        <f t="shared" si="54"/>
        <v>1130</v>
      </c>
      <c r="G340" s="512"/>
      <c r="H340" s="512"/>
      <c r="I340" s="512"/>
      <c r="J340" s="512"/>
      <c r="K340" s="512"/>
      <c r="L340" s="512"/>
      <c r="M340" s="512">
        <v>1130</v>
      </c>
      <c r="N340" s="512"/>
    </row>
    <row r="341" spans="1:14" s="341" customFormat="1" ht="15">
      <c r="A341" s="470"/>
      <c r="B341" s="435"/>
      <c r="C341" s="453">
        <v>4430</v>
      </c>
      <c r="D341" s="511" t="s">
        <v>668</v>
      </c>
      <c r="E341" s="507">
        <f t="shared" si="59"/>
        <v>220</v>
      </c>
      <c r="F341" s="512">
        <f t="shared" si="54"/>
        <v>220</v>
      </c>
      <c r="G341" s="512"/>
      <c r="H341" s="512"/>
      <c r="I341" s="512"/>
      <c r="J341" s="512"/>
      <c r="K341" s="512"/>
      <c r="L341" s="512"/>
      <c r="M341" s="512">
        <v>220</v>
      </c>
      <c r="N341" s="512"/>
    </row>
    <row r="342" spans="1:14" s="341" customFormat="1" ht="46.5" customHeight="1">
      <c r="A342" s="470"/>
      <c r="B342" s="435"/>
      <c r="C342" s="453">
        <v>4440</v>
      </c>
      <c r="D342" s="511" t="s">
        <v>669</v>
      </c>
      <c r="E342" s="507">
        <f t="shared" si="59"/>
        <v>69700</v>
      </c>
      <c r="F342" s="512">
        <f t="shared" si="54"/>
        <v>69700</v>
      </c>
      <c r="G342" s="512"/>
      <c r="H342" s="512"/>
      <c r="I342" s="512"/>
      <c r="J342" s="512"/>
      <c r="K342" s="512"/>
      <c r="L342" s="512"/>
      <c r="M342" s="512">
        <v>69700</v>
      </c>
      <c r="N342" s="512"/>
    </row>
    <row r="343" spans="1:14" s="341" customFormat="1" ht="15">
      <c r="A343" s="470"/>
      <c r="B343" s="435"/>
      <c r="C343" s="453">
        <v>4480</v>
      </c>
      <c r="D343" s="511" t="s">
        <v>670</v>
      </c>
      <c r="E343" s="507">
        <f t="shared" si="59"/>
        <v>650</v>
      </c>
      <c r="F343" s="512">
        <f>SUM(G343:M343)</f>
        <v>650</v>
      </c>
      <c r="G343" s="512"/>
      <c r="H343" s="512"/>
      <c r="I343" s="512"/>
      <c r="J343" s="512"/>
      <c r="K343" s="512"/>
      <c r="L343" s="512"/>
      <c r="M343" s="512">
        <v>650</v>
      </c>
      <c r="N343" s="512"/>
    </row>
    <row r="344" spans="1:14" s="341" customFormat="1" ht="25.5">
      <c r="A344" s="470"/>
      <c r="B344" s="435"/>
      <c r="C344" s="453">
        <v>4510</v>
      </c>
      <c r="D344" s="511" t="s">
        <v>246</v>
      </c>
      <c r="E344" s="507">
        <f t="shared" si="59"/>
        <v>160</v>
      </c>
      <c r="F344" s="512">
        <f t="shared" si="54"/>
        <v>160</v>
      </c>
      <c r="G344" s="512"/>
      <c r="H344" s="512"/>
      <c r="I344" s="512"/>
      <c r="J344" s="512"/>
      <c r="K344" s="512"/>
      <c r="L344" s="512"/>
      <c r="M344" s="512">
        <v>160</v>
      </c>
      <c r="N344" s="512"/>
    </row>
    <row r="345" spans="1:14" s="341" customFormat="1" ht="38.25">
      <c r="A345" s="470"/>
      <c r="B345" s="435"/>
      <c r="C345" s="453">
        <v>4700</v>
      </c>
      <c r="D345" s="511" t="s">
        <v>210</v>
      </c>
      <c r="E345" s="507">
        <f t="shared" si="59"/>
        <v>2060</v>
      </c>
      <c r="F345" s="512">
        <f t="shared" si="54"/>
        <v>2060</v>
      </c>
      <c r="G345" s="512"/>
      <c r="H345" s="512"/>
      <c r="I345" s="512"/>
      <c r="J345" s="512"/>
      <c r="K345" s="512"/>
      <c r="L345" s="512"/>
      <c r="M345" s="512">
        <v>2060</v>
      </c>
      <c r="N345" s="512"/>
    </row>
    <row r="346" spans="1:14" s="341" customFormat="1" ht="63" customHeight="1">
      <c r="A346" s="470"/>
      <c r="B346" s="435"/>
      <c r="C346" s="453">
        <v>4740</v>
      </c>
      <c r="D346" s="511" t="s">
        <v>24</v>
      </c>
      <c r="E346" s="507">
        <f t="shared" si="59"/>
        <v>1080</v>
      </c>
      <c r="F346" s="512">
        <f t="shared" si="54"/>
        <v>1080</v>
      </c>
      <c r="G346" s="512"/>
      <c r="H346" s="512"/>
      <c r="I346" s="512"/>
      <c r="J346" s="512"/>
      <c r="K346" s="512"/>
      <c r="L346" s="512"/>
      <c r="M346" s="512">
        <v>1080</v>
      </c>
      <c r="N346" s="512"/>
    </row>
    <row r="347" spans="1:14" s="341" customFormat="1" ht="38.25">
      <c r="A347" s="470"/>
      <c r="B347" s="435"/>
      <c r="C347" s="453">
        <v>4750</v>
      </c>
      <c r="D347" s="511" t="s">
        <v>64</v>
      </c>
      <c r="E347" s="507">
        <f t="shared" si="59"/>
        <v>7200</v>
      </c>
      <c r="F347" s="512">
        <f>SUM(G347:M347)</f>
        <v>7200</v>
      </c>
      <c r="G347" s="512"/>
      <c r="H347" s="512"/>
      <c r="I347" s="512"/>
      <c r="J347" s="512"/>
      <c r="K347" s="512"/>
      <c r="L347" s="512"/>
      <c r="M347" s="512">
        <v>7200</v>
      </c>
      <c r="N347" s="512"/>
    </row>
    <row r="348" spans="1:14" s="341" customFormat="1" ht="25.5" hidden="1">
      <c r="A348" s="470"/>
      <c r="B348" s="435"/>
      <c r="C348" s="453">
        <v>6050</v>
      </c>
      <c r="D348" s="511" t="s">
        <v>377</v>
      </c>
      <c r="E348" s="507">
        <f t="shared" si="59"/>
        <v>0</v>
      </c>
      <c r="F348" s="512">
        <f t="shared" si="54"/>
        <v>0</v>
      </c>
      <c r="G348" s="512"/>
      <c r="H348" s="512"/>
      <c r="I348" s="512"/>
      <c r="J348" s="512"/>
      <c r="K348" s="512"/>
      <c r="L348" s="512"/>
      <c r="M348" s="512"/>
      <c r="N348" s="512"/>
    </row>
    <row r="349" spans="1:14" s="341" customFormat="1" ht="38.25" hidden="1">
      <c r="A349" s="470"/>
      <c r="B349" s="435"/>
      <c r="C349" s="453">
        <v>6060</v>
      </c>
      <c r="D349" s="511" t="s">
        <v>212</v>
      </c>
      <c r="E349" s="507">
        <f t="shared" si="59"/>
        <v>0</v>
      </c>
      <c r="F349" s="512">
        <f t="shared" si="54"/>
        <v>0</v>
      </c>
      <c r="G349" s="512"/>
      <c r="H349" s="512"/>
      <c r="I349" s="512"/>
      <c r="J349" s="512"/>
      <c r="K349" s="512"/>
      <c r="L349" s="512"/>
      <c r="M349" s="512"/>
      <c r="N349" s="512"/>
    </row>
    <row r="350" spans="1:14" s="341" customFormat="1" ht="54.75" customHeight="1" hidden="1">
      <c r="A350" s="470"/>
      <c r="B350" s="435"/>
      <c r="C350" s="533">
        <v>4118</v>
      </c>
      <c r="D350" s="534" t="s">
        <v>59</v>
      </c>
      <c r="E350" s="507">
        <f t="shared" si="59"/>
        <v>0</v>
      </c>
      <c r="F350" s="512">
        <f t="shared" si="54"/>
        <v>0</v>
      </c>
      <c r="G350" s="512"/>
      <c r="H350" s="512"/>
      <c r="I350" s="535"/>
      <c r="J350" s="512"/>
      <c r="K350" s="512"/>
      <c r="L350" s="512"/>
      <c r="M350" s="512"/>
      <c r="N350" s="512"/>
    </row>
    <row r="351" spans="1:14" s="341" customFormat="1" ht="60.75" customHeight="1" hidden="1">
      <c r="A351" s="470"/>
      <c r="B351" s="435"/>
      <c r="C351" s="533">
        <v>4119</v>
      </c>
      <c r="D351" s="534" t="s">
        <v>59</v>
      </c>
      <c r="E351" s="507">
        <f t="shared" si="59"/>
        <v>0</v>
      </c>
      <c r="F351" s="512">
        <f t="shared" si="54"/>
        <v>0</v>
      </c>
      <c r="G351" s="512"/>
      <c r="H351" s="512"/>
      <c r="I351" s="535"/>
      <c r="J351" s="512"/>
      <c r="K351" s="512"/>
      <c r="L351" s="512"/>
      <c r="M351" s="512"/>
      <c r="N351" s="512"/>
    </row>
    <row r="352" spans="1:14" s="341" customFormat="1" ht="35.25" customHeight="1" hidden="1">
      <c r="A352" s="470"/>
      <c r="B352" s="435"/>
      <c r="C352" s="533">
        <v>4128</v>
      </c>
      <c r="D352" s="534" t="s">
        <v>656</v>
      </c>
      <c r="E352" s="507">
        <f t="shared" si="59"/>
        <v>0</v>
      </c>
      <c r="F352" s="512">
        <f t="shared" si="54"/>
        <v>0</v>
      </c>
      <c r="G352" s="512"/>
      <c r="H352" s="512"/>
      <c r="I352" s="113"/>
      <c r="J352" s="512"/>
      <c r="K352" s="512"/>
      <c r="L352" s="512"/>
      <c r="M352" s="512"/>
      <c r="N352" s="512"/>
    </row>
    <row r="353" spans="1:14" s="341" customFormat="1" ht="18.75" customHeight="1" hidden="1">
      <c r="A353" s="470"/>
      <c r="B353" s="435"/>
      <c r="C353" s="533">
        <v>4129</v>
      </c>
      <c r="D353" s="534" t="s">
        <v>656</v>
      </c>
      <c r="E353" s="507">
        <f t="shared" si="59"/>
        <v>0</v>
      </c>
      <c r="F353" s="512">
        <f t="shared" si="54"/>
        <v>0</v>
      </c>
      <c r="G353" s="512"/>
      <c r="H353" s="512"/>
      <c r="I353" s="113"/>
      <c r="J353" s="512"/>
      <c r="K353" s="512"/>
      <c r="L353" s="512"/>
      <c r="M353" s="512"/>
      <c r="N353" s="512"/>
    </row>
    <row r="354" spans="1:14" s="341" customFormat="1" ht="36" customHeight="1" hidden="1">
      <c r="A354" s="470"/>
      <c r="B354" s="435"/>
      <c r="C354" s="533">
        <v>4178</v>
      </c>
      <c r="D354" s="534" t="s">
        <v>21</v>
      </c>
      <c r="E354" s="507">
        <f t="shared" si="59"/>
        <v>0</v>
      </c>
      <c r="F354" s="512">
        <f t="shared" si="54"/>
        <v>0</v>
      </c>
      <c r="G354" s="512"/>
      <c r="H354" s="512"/>
      <c r="I354" s="535"/>
      <c r="J354" s="512"/>
      <c r="K354" s="512"/>
      <c r="L354" s="512"/>
      <c r="M354" s="512"/>
      <c r="N354" s="512"/>
    </row>
    <row r="355" spans="1:14" s="341" customFormat="1" ht="28.5" customHeight="1" hidden="1">
      <c r="A355" s="470"/>
      <c r="B355" s="435"/>
      <c r="C355" s="533">
        <v>4179</v>
      </c>
      <c r="D355" s="534" t="s">
        <v>21</v>
      </c>
      <c r="E355" s="507">
        <f t="shared" si="59"/>
        <v>0</v>
      </c>
      <c r="F355" s="512">
        <f t="shared" si="54"/>
        <v>0</v>
      </c>
      <c r="G355" s="512"/>
      <c r="H355" s="512"/>
      <c r="I355" s="535"/>
      <c r="J355" s="512"/>
      <c r="K355" s="512"/>
      <c r="L355" s="512"/>
      <c r="M355" s="512"/>
      <c r="N355" s="512"/>
    </row>
    <row r="356" spans="1:14" s="341" customFormat="1" ht="25.5" hidden="1">
      <c r="A356" s="470"/>
      <c r="B356" s="435"/>
      <c r="C356" s="533">
        <v>4218</v>
      </c>
      <c r="D356" s="534" t="s">
        <v>658</v>
      </c>
      <c r="E356" s="507">
        <f t="shared" si="59"/>
        <v>0</v>
      </c>
      <c r="F356" s="512">
        <f t="shared" si="54"/>
        <v>0</v>
      </c>
      <c r="G356" s="512"/>
      <c r="H356" s="512"/>
      <c r="I356" s="512"/>
      <c r="J356" s="512"/>
      <c r="K356" s="512"/>
      <c r="L356" s="512"/>
      <c r="M356" s="512"/>
      <c r="N356" s="512"/>
    </row>
    <row r="357" spans="1:14" s="341" customFormat="1" ht="25.5" hidden="1">
      <c r="A357" s="470"/>
      <c r="B357" s="435"/>
      <c r="C357" s="533">
        <v>4219</v>
      </c>
      <c r="D357" s="534" t="s">
        <v>658</v>
      </c>
      <c r="E357" s="507">
        <f t="shared" si="59"/>
        <v>0</v>
      </c>
      <c r="F357" s="512">
        <f t="shared" si="54"/>
        <v>0</v>
      </c>
      <c r="G357" s="512"/>
      <c r="H357" s="512"/>
      <c r="I357" s="512"/>
      <c r="J357" s="512"/>
      <c r="K357" s="512"/>
      <c r="L357" s="512"/>
      <c r="M357" s="512"/>
      <c r="N357" s="512"/>
    </row>
    <row r="358" spans="1:14" s="341" customFormat="1" ht="15" hidden="1">
      <c r="A358" s="470"/>
      <c r="B358" s="435"/>
      <c r="C358" s="533">
        <v>4268</v>
      </c>
      <c r="D358" s="534" t="s">
        <v>659</v>
      </c>
      <c r="E358" s="507">
        <f t="shared" si="59"/>
        <v>0</v>
      </c>
      <c r="F358" s="512">
        <f t="shared" si="54"/>
        <v>0</v>
      </c>
      <c r="G358" s="512"/>
      <c r="H358" s="512"/>
      <c r="I358" s="512"/>
      <c r="J358" s="512"/>
      <c r="K358" s="512"/>
      <c r="L358" s="512"/>
      <c r="M358" s="512"/>
      <c r="N358" s="512"/>
    </row>
    <row r="359" spans="1:14" s="341" customFormat="1" ht="15" hidden="1">
      <c r="A359" s="470"/>
      <c r="B359" s="435"/>
      <c r="C359" s="533">
        <v>4269</v>
      </c>
      <c r="D359" s="534" t="s">
        <v>659</v>
      </c>
      <c r="E359" s="507">
        <f t="shared" si="59"/>
        <v>0</v>
      </c>
      <c r="F359" s="512">
        <f t="shared" si="54"/>
        <v>0</v>
      </c>
      <c r="G359" s="512"/>
      <c r="H359" s="512"/>
      <c r="I359" s="512"/>
      <c r="J359" s="512"/>
      <c r="K359" s="512"/>
      <c r="L359" s="512"/>
      <c r="M359" s="512"/>
      <c r="N359" s="512"/>
    </row>
    <row r="360" spans="1:14" s="341" customFormat="1" ht="27" customHeight="1" hidden="1">
      <c r="A360" s="470"/>
      <c r="B360" s="435"/>
      <c r="C360" s="533">
        <v>4308</v>
      </c>
      <c r="D360" s="534" t="s">
        <v>79</v>
      </c>
      <c r="E360" s="507">
        <f t="shared" si="59"/>
        <v>0</v>
      </c>
      <c r="F360" s="512">
        <f t="shared" si="54"/>
        <v>0</v>
      </c>
      <c r="G360" s="512"/>
      <c r="H360" s="512"/>
      <c r="I360" s="512"/>
      <c r="J360" s="512"/>
      <c r="K360" s="512"/>
      <c r="L360" s="512"/>
      <c r="M360" s="512"/>
      <c r="N360" s="512"/>
    </row>
    <row r="361" spans="1:14" s="341" customFormat="1" ht="27.75" customHeight="1" hidden="1">
      <c r="A361" s="470"/>
      <c r="B361" s="435"/>
      <c r="C361" s="533">
        <v>4309</v>
      </c>
      <c r="D361" s="534" t="s">
        <v>79</v>
      </c>
      <c r="E361" s="507">
        <f t="shared" si="59"/>
        <v>0</v>
      </c>
      <c r="F361" s="512">
        <f t="shared" si="54"/>
        <v>0</v>
      </c>
      <c r="G361" s="512"/>
      <c r="H361" s="512"/>
      <c r="I361" s="512"/>
      <c r="J361" s="512"/>
      <c r="K361" s="512"/>
      <c r="L361" s="512"/>
      <c r="M361" s="512"/>
      <c r="N361" s="512"/>
    </row>
    <row r="362" spans="1:14" s="341" customFormat="1" ht="33.75" customHeight="1" hidden="1">
      <c r="A362" s="470"/>
      <c r="B362" s="435"/>
      <c r="C362" s="453">
        <v>4358</v>
      </c>
      <c r="D362" s="511" t="s">
        <v>662</v>
      </c>
      <c r="E362" s="507">
        <f t="shared" si="59"/>
        <v>0</v>
      </c>
      <c r="F362" s="512">
        <f t="shared" si="54"/>
        <v>0</v>
      </c>
      <c r="G362" s="512"/>
      <c r="H362" s="512"/>
      <c r="I362" s="512"/>
      <c r="J362" s="512"/>
      <c r="K362" s="512"/>
      <c r="L362" s="512"/>
      <c r="M362" s="512"/>
      <c r="N362" s="512"/>
    </row>
    <row r="363" spans="1:14" s="341" customFormat="1" ht="32.25" customHeight="1" hidden="1">
      <c r="A363" s="470"/>
      <c r="B363" s="435"/>
      <c r="C363" s="453">
        <v>4359</v>
      </c>
      <c r="D363" s="511" t="s">
        <v>662</v>
      </c>
      <c r="E363" s="507">
        <f t="shared" si="59"/>
        <v>0</v>
      </c>
      <c r="F363" s="512">
        <f t="shared" si="54"/>
        <v>0</v>
      </c>
      <c r="G363" s="512"/>
      <c r="H363" s="512"/>
      <c r="I363" s="512"/>
      <c r="J363" s="512"/>
      <c r="K363" s="512"/>
      <c r="L363" s="512"/>
      <c r="M363" s="512"/>
      <c r="N363" s="512"/>
    </row>
    <row r="364" spans="1:14" s="341" customFormat="1" ht="38.25" hidden="1">
      <c r="A364" s="470"/>
      <c r="B364" s="435"/>
      <c r="C364" s="533">
        <v>4368</v>
      </c>
      <c r="D364" s="534" t="s">
        <v>70</v>
      </c>
      <c r="E364" s="507">
        <f t="shared" si="59"/>
        <v>0</v>
      </c>
      <c r="F364" s="512">
        <f t="shared" si="54"/>
        <v>0</v>
      </c>
      <c r="G364" s="512"/>
      <c r="H364" s="512"/>
      <c r="I364" s="512"/>
      <c r="J364" s="512"/>
      <c r="K364" s="512"/>
      <c r="L364" s="512"/>
      <c r="M364" s="512"/>
      <c r="N364" s="512"/>
    </row>
    <row r="365" spans="1:14" s="341" customFormat="1" ht="38.25" hidden="1">
      <c r="A365" s="470"/>
      <c r="B365" s="435"/>
      <c r="C365" s="533">
        <v>4369</v>
      </c>
      <c r="D365" s="534" t="s">
        <v>70</v>
      </c>
      <c r="E365" s="507">
        <f t="shared" si="59"/>
        <v>0</v>
      </c>
      <c r="F365" s="512">
        <f t="shared" si="54"/>
        <v>0</v>
      </c>
      <c r="G365" s="512"/>
      <c r="H365" s="512"/>
      <c r="I365" s="512"/>
      <c r="J365" s="512"/>
      <c r="K365" s="512"/>
      <c r="L365" s="512"/>
      <c r="M365" s="512"/>
      <c r="N365" s="512"/>
    </row>
    <row r="366" spans="1:14" s="341" customFormat="1" ht="38.25" hidden="1">
      <c r="A366" s="470"/>
      <c r="B366" s="435"/>
      <c r="C366" s="533">
        <v>4378</v>
      </c>
      <c r="D366" s="534" t="s">
        <v>63</v>
      </c>
      <c r="E366" s="507">
        <f t="shared" si="59"/>
        <v>0</v>
      </c>
      <c r="F366" s="512">
        <f t="shared" si="54"/>
        <v>0</v>
      </c>
      <c r="G366" s="512"/>
      <c r="H366" s="512"/>
      <c r="I366" s="512"/>
      <c r="J366" s="512"/>
      <c r="K366" s="512"/>
      <c r="L366" s="512"/>
      <c r="M366" s="512"/>
      <c r="N366" s="512"/>
    </row>
    <row r="367" spans="1:14" s="341" customFormat="1" ht="38.25" hidden="1">
      <c r="A367" s="470"/>
      <c r="B367" s="435"/>
      <c r="C367" s="533">
        <v>4379</v>
      </c>
      <c r="D367" s="534" t="s">
        <v>63</v>
      </c>
      <c r="E367" s="507">
        <f t="shared" si="59"/>
        <v>0</v>
      </c>
      <c r="F367" s="512">
        <f t="shared" si="54"/>
        <v>0</v>
      </c>
      <c r="G367" s="512"/>
      <c r="H367" s="512"/>
      <c r="I367" s="512"/>
      <c r="J367" s="512"/>
      <c r="K367" s="512"/>
      <c r="L367" s="512"/>
      <c r="M367" s="512"/>
      <c r="N367" s="512"/>
    </row>
    <row r="368" spans="1:14" s="341" customFormat="1" ht="15" hidden="1">
      <c r="A368" s="470"/>
      <c r="B368" s="536" t="s">
        <v>576</v>
      </c>
      <c r="C368" s="453">
        <v>4410</v>
      </c>
      <c r="D368" s="511" t="s">
        <v>667</v>
      </c>
      <c r="E368" s="507">
        <f t="shared" si="59"/>
        <v>0</v>
      </c>
      <c r="F368" s="512">
        <f>SUM(G368:M368)</f>
        <v>0</v>
      </c>
      <c r="G368" s="512"/>
      <c r="H368" s="512"/>
      <c r="I368" s="512"/>
      <c r="J368" s="512"/>
      <c r="K368" s="512"/>
      <c r="L368" s="512"/>
      <c r="M368" s="512"/>
      <c r="N368" s="512"/>
    </row>
    <row r="369" spans="1:14" s="341" customFormat="1" ht="15" hidden="1">
      <c r="A369" s="470"/>
      <c r="B369" s="537"/>
      <c r="C369" s="453">
        <v>4410</v>
      </c>
      <c r="D369" s="511" t="s">
        <v>667</v>
      </c>
      <c r="E369" s="507">
        <f t="shared" si="59"/>
        <v>0</v>
      </c>
      <c r="F369" s="512">
        <f>SUM(G369:M369)</f>
        <v>0</v>
      </c>
      <c r="G369" s="512"/>
      <c r="H369" s="512"/>
      <c r="I369" s="512"/>
      <c r="J369" s="512"/>
      <c r="K369" s="512"/>
      <c r="L369" s="512"/>
      <c r="M369" s="512"/>
      <c r="N369" s="512"/>
    </row>
    <row r="370" spans="1:14" s="341" customFormat="1" ht="51" hidden="1">
      <c r="A370" s="470"/>
      <c r="B370" s="435"/>
      <c r="C370" s="453">
        <v>4748</v>
      </c>
      <c r="D370" s="511" t="s">
        <v>24</v>
      </c>
      <c r="E370" s="507">
        <f t="shared" si="59"/>
        <v>0</v>
      </c>
      <c r="F370" s="512">
        <f t="shared" si="54"/>
        <v>0</v>
      </c>
      <c r="G370" s="512"/>
      <c r="H370" s="512"/>
      <c r="I370" s="512"/>
      <c r="J370" s="512"/>
      <c r="K370" s="512"/>
      <c r="L370" s="512"/>
      <c r="M370" s="512"/>
      <c r="N370" s="512"/>
    </row>
    <row r="371" spans="1:14" s="341" customFormat="1" ht="51" hidden="1">
      <c r="A371" s="470"/>
      <c r="B371" s="435"/>
      <c r="C371" s="453">
        <v>4749</v>
      </c>
      <c r="D371" s="511" t="s">
        <v>24</v>
      </c>
      <c r="E371" s="507">
        <f t="shared" si="59"/>
        <v>0</v>
      </c>
      <c r="F371" s="512">
        <f t="shared" si="54"/>
        <v>0</v>
      </c>
      <c r="G371" s="512"/>
      <c r="H371" s="512"/>
      <c r="I371" s="512"/>
      <c r="J371" s="512"/>
      <c r="K371" s="512"/>
      <c r="L371" s="512"/>
      <c r="M371" s="512"/>
      <c r="N371" s="512"/>
    </row>
    <row r="372" spans="1:14" s="341" customFormat="1" ht="38.25" hidden="1">
      <c r="A372" s="470"/>
      <c r="B372" s="435"/>
      <c r="C372" s="533">
        <v>4758</v>
      </c>
      <c r="D372" s="534" t="s">
        <v>64</v>
      </c>
      <c r="E372" s="507">
        <f t="shared" si="59"/>
        <v>0</v>
      </c>
      <c r="F372" s="512">
        <f t="shared" si="54"/>
        <v>0</v>
      </c>
      <c r="G372" s="512"/>
      <c r="H372" s="512"/>
      <c r="I372" s="512"/>
      <c r="J372" s="512"/>
      <c r="K372" s="512"/>
      <c r="L372" s="113"/>
      <c r="M372" s="512"/>
      <c r="N372" s="512"/>
    </row>
    <row r="373" spans="1:14" s="341" customFormat="1" ht="38.25" hidden="1">
      <c r="A373" s="470"/>
      <c r="B373" s="435"/>
      <c r="C373" s="533">
        <v>4759</v>
      </c>
      <c r="D373" s="534" t="s">
        <v>64</v>
      </c>
      <c r="E373" s="507">
        <f t="shared" si="59"/>
        <v>0</v>
      </c>
      <c r="F373" s="512">
        <f t="shared" si="54"/>
        <v>0</v>
      </c>
      <c r="G373" s="512"/>
      <c r="H373" s="512"/>
      <c r="I373" s="512"/>
      <c r="J373" s="512"/>
      <c r="K373" s="512"/>
      <c r="L373" s="113"/>
      <c r="M373" s="512"/>
      <c r="N373" s="512"/>
    </row>
    <row r="374" spans="1:14" s="342" customFormat="1" ht="15.75">
      <c r="A374" s="435">
        <v>851</v>
      </c>
      <c r="B374" s="435"/>
      <c r="C374" s="436"/>
      <c r="D374" s="437" t="s">
        <v>81</v>
      </c>
      <c r="E374" s="507">
        <f t="shared" si="59"/>
        <v>4393400</v>
      </c>
      <c r="F374" s="508">
        <f t="shared" si="54"/>
        <v>2893400</v>
      </c>
      <c r="G374" s="508">
        <f aca="true" t="shared" si="60" ref="G374:M374">SUM(G381+G377+G375)</f>
        <v>0</v>
      </c>
      <c r="H374" s="508">
        <f t="shared" si="60"/>
        <v>0</v>
      </c>
      <c r="I374" s="508">
        <f t="shared" si="60"/>
        <v>0</v>
      </c>
      <c r="J374" s="508">
        <f t="shared" si="60"/>
        <v>0</v>
      </c>
      <c r="K374" s="508">
        <f t="shared" si="60"/>
        <v>0</v>
      </c>
      <c r="L374" s="508">
        <f t="shared" si="60"/>
        <v>0</v>
      </c>
      <c r="M374" s="508">
        <f t="shared" si="60"/>
        <v>2893400</v>
      </c>
      <c r="N374" s="508">
        <f>SUM(N381+N377+N375)</f>
        <v>1500000</v>
      </c>
    </row>
    <row r="375" spans="1:14" s="343" customFormat="1" ht="15.75">
      <c r="A375" s="442"/>
      <c r="B375" s="442">
        <v>85111</v>
      </c>
      <c r="C375" s="443"/>
      <c r="D375" s="444" t="s">
        <v>332</v>
      </c>
      <c r="E375" s="507">
        <f t="shared" si="59"/>
        <v>1500000</v>
      </c>
      <c r="F375" s="510">
        <f>SUM(G375:M375)</f>
        <v>0</v>
      </c>
      <c r="G375" s="510">
        <f aca="true" t="shared" si="61" ref="G375:N375">SUM(G376)</f>
        <v>0</v>
      </c>
      <c r="H375" s="510">
        <f t="shared" si="61"/>
        <v>0</v>
      </c>
      <c r="I375" s="510">
        <f t="shared" si="61"/>
        <v>0</v>
      </c>
      <c r="J375" s="510">
        <f t="shared" si="61"/>
        <v>0</v>
      </c>
      <c r="K375" s="510">
        <f t="shared" si="61"/>
        <v>0</v>
      </c>
      <c r="L375" s="510">
        <f t="shared" si="61"/>
        <v>0</v>
      </c>
      <c r="M375" s="510">
        <f t="shared" si="61"/>
        <v>0</v>
      </c>
      <c r="N375" s="510">
        <f t="shared" si="61"/>
        <v>1500000</v>
      </c>
    </row>
    <row r="376" spans="1:14" s="341" customFormat="1" ht="51">
      <c r="A376" s="452"/>
      <c r="B376" s="452"/>
      <c r="C376" s="453">
        <v>6010</v>
      </c>
      <c r="D376" s="511" t="s">
        <v>333</v>
      </c>
      <c r="E376" s="507">
        <f t="shared" si="59"/>
        <v>1500000</v>
      </c>
      <c r="F376" s="512">
        <f>SUM(G376:M376)</f>
        <v>0</v>
      </c>
      <c r="G376" s="512"/>
      <c r="H376" s="512"/>
      <c r="I376" s="512"/>
      <c r="J376" s="512"/>
      <c r="K376" s="512"/>
      <c r="L376" s="512"/>
      <c r="M376" s="512"/>
      <c r="N376" s="512">
        <v>1500000</v>
      </c>
    </row>
    <row r="377" spans="1:14" s="343" customFormat="1" ht="76.5">
      <c r="A377" s="442"/>
      <c r="B377" s="442">
        <v>85156</v>
      </c>
      <c r="C377" s="443"/>
      <c r="D377" s="444" t="s">
        <v>82</v>
      </c>
      <c r="E377" s="507">
        <f t="shared" si="59"/>
        <v>2848400</v>
      </c>
      <c r="F377" s="510">
        <f t="shared" si="54"/>
        <v>2848400</v>
      </c>
      <c r="G377" s="510">
        <f>SUM(G378:G380)</f>
        <v>0</v>
      </c>
      <c r="H377" s="510">
        <f aca="true" t="shared" si="62" ref="H377:N377">SUM(H378:H380)</f>
        <v>0</v>
      </c>
      <c r="I377" s="510">
        <f t="shared" si="62"/>
        <v>0</v>
      </c>
      <c r="J377" s="510">
        <f t="shared" si="62"/>
        <v>0</v>
      </c>
      <c r="K377" s="510">
        <f t="shared" si="62"/>
        <v>0</v>
      </c>
      <c r="L377" s="510">
        <f t="shared" si="62"/>
        <v>0</v>
      </c>
      <c r="M377" s="510">
        <f t="shared" si="62"/>
        <v>2848400</v>
      </c>
      <c r="N377" s="510">
        <f t="shared" si="62"/>
        <v>0</v>
      </c>
    </row>
    <row r="378" spans="1:14" s="341" customFormat="1" ht="25.5">
      <c r="A378" s="452"/>
      <c r="B378" s="452"/>
      <c r="C378" s="453">
        <v>4130</v>
      </c>
      <c r="D378" s="511" t="s">
        <v>83</v>
      </c>
      <c r="E378" s="538">
        <f t="shared" si="59"/>
        <v>2780700</v>
      </c>
      <c r="F378" s="512">
        <f t="shared" si="54"/>
        <v>2780700</v>
      </c>
      <c r="G378" s="512"/>
      <c r="H378" s="512"/>
      <c r="I378" s="512"/>
      <c r="J378" s="512"/>
      <c r="K378" s="512"/>
      <c r="L378" s="512"/>
      <c r="M378" s="512">
        <v>2780700</v>
      </c>
      <c r="N378" s="512"/>
    </row>
    <row r="379" spans="1:14" s="341" customFormat="1" ht="15">
      <c r="A379" s="452"/>
      <c r="B379" s="452"/>
      <c r="C379" s="453">
        <v>4430</v>
      </c>
      <c r="D379" s="511" t="s">
        <v>668</v>
      </c>
      <c r="E379" s="538">
        <f>F379+N379</f>
        <v>48000</v>
      </c>
      <c r="F379" s="512">
        <f>SUM(G379:M379)</f>
        <v>48000</v>
      </c>
      <c r="G379" s="512"/>
      <c r="H379" s="512"/>
      <c r="I379" s="512"/>
      <c r="J379" s="512"/>
      <c r="K379" s="512"/>
      <c r="L379" s="512"/>
      <c r="M379" s="512">
        <v>48000</v>
      </c>
      <c r="N379" s="512"/>
    </row>
    <row r="380" spans="1:14" s="341" customFormat="1" ht="15">
      <c r="A380" s="452"/>
      <c r="B380" s="452"/>
      <c r="C380" s="453">
        <v>4580</v>
      </c>
      <c r="D380" s="511" t="s">
        <v>414</v>
      </c>
      <c r="E380" s="538">
        <f>F380+N380</f>
        <v>19700</v>
      </c>
      <c r="F380" s="512">
        <f>SUM(G380:M380)</f>
        <v>19700</v>
      </c>
      <c r="G380" s="512"/>
      <c r="H380" s="512"/>
      <c r="I380" s="512"/>
      <c r="J380" s="512"/>
      <c r="K380" s="512"/>
      <c r="L380" s="512"/>
      <c r="M380" s="512">
        <v>19700</v>
      </c>
      <c r="N380" s="512"/>
    </row>
    <row r="381" spans="1:14" s="343" customFormat="1" ht="25.5">
      <c r="A381" s="442"/>
      <c r="B381" s="442">
        <v>85149</v>
      </c>
      <c r="C381" s="443"/>
      <c r="D381" s="444" t="s">
        <v>84</v>
      </c>
      <c r="E381" s="507">
        <f t="shared" si="59"/>
        <v>45000</v>
      </c>
      <c r="F381" s="510">
        <f t="shared" si="54"/>
        <v>45000</v>
      </c>
      <c r="G381" s="510">
        <f aca="true" t="shared" si="63" ref="G381:M381">G382</f>
        <v>0</v>
      </c>
      <c r="H381" s="510">
        <f t="shared" si="63"/>
        <v>0</v>
      </c>
      <c r="I381" s="510">
        <f t="shared" si="63"/>
        <v>0</v>
      </c>
      <c r="J381" s="510">
        <f t="shared" si="63"/>
        <v>0</v>
      </c>
      <c r="K381" s="510">
        <f t="shared" si="63"/>
        <v>0</v>
      </c>
      <c r="L381" s="510">
        <f t="shared" si="63"/>
        <v>0</v>
      </c>
      <c r="M381" s="510">
        <f t="shared" si="63"/>
        <v>45000</v>
      </c>
      <c r="N381" s="510"/>
    </row>
    <row r="382" spans="1:14" s="341" customFormat="1" ht="15">
      <c r="A382" s="452"/>
      <c r="B382" s="452"/>
      <c r="C382" s="453">
        <v>4280</v>
      </c>
      <c r="D382" s="511" t="s">
        <v>85</v>
      </c>
      <c r="E382" s="507">
        <f t="shared" si="59"/>
        <v>45000</v>
      </c>
      <c r="F382" s="512">
        <f t="shared" si="54"/>
        <v>45000</v>
      </c>
      <c r="G382" s="512"/>
      <c r="H382" s="512"/>
      <c r="I382" s="512"/>
      <c r="J382" s="512"/>
      <c r="K382" s="512"/>
      <c r="L382" s="512"/>
      <c r="M382" s="512">
        <v>45000</v>
      </c>
      <c r="N382" s="512"/>
    </row>
    <row r="383" spans="1:14" s="342" customFormat="1" ht="15.75">
      <c r="A383" s="435">
        <v>852</v>
      </c>
      <c r="B383" s="435"/>
      <c r="C383" s="436"/>
      <c r="D383" s="437" t="s">
        <v>86</v>
      </c>
      <c r="E383" s="507">
        <f t="shared" si="59"/>
        <v>17558064</v>
      </c>
      <c r="F383" s="508">
        <f t="shared" si="54"/>
        <v>14918050</v>
      </c>
      <c r="G383" s="508">
        <f aca="true" t="shared" si="64" ref="G383:N383">SUM(G384+G412+G440+G465+G471+G496+G508+G511)</f>
        <v>6427726</v>
      </c>
      <c r="H383" s="508">
        <f t="shared" si="64"/>
        <v>532710</v>
      </c>
      <c r="I383" s="508">
        <f t="shared" si="64"/>
        <v>1303280</v>
      </c>
      <c r="J383" s="508">
        <f t="shared" si="64"/>
        <v>252000</v>
      </c>
      <c r="K383" s="508">
        <f t="shared" si="64"/>
        <v>0</v>
      </c>
      <c r="L383" s="508">
        <f t="shared" si="64"/>
        <v>0</v>
      </c>
      <c r="M383" s="508">
        <f t="shared" si="64"/>
        <v>6402334</v>
      </c>
      <c r="N383" s="508">
        <f t="shared" si="64"/>
        <v>2640014</v>
      </c>
    </row>
    <row r="384" spans="1:14" s="343" customFormat="1" ht="25.5">
      <c r="A384" s="442"/>
      <c r="B384" s="442">
        <v>85201</v>
      </c>
      <c r="C384" s="443"/>
      <c r="D384" s="444" t="s">
        <v>87</v>
      </c>
      <c r="E384" s="507">
        <f t="shared" si="59"/>
        <v>1505636</v>
      </c>
      <c r="F384" s="510">
        <f t="shared" si="54"/>
        <v>1505636</v>
      </c>
      <c r="G384" s="510">
        <f>SUM(G385:G411)</f>
        <v>760646</v>
      </c>
      <c r="H384" s="510">
        <f aca="true" t="shared" si="65" ref="H384:N384">SUM(H385:H411)</f>
        <v>58810</v>
      </c>
      <c r="I384" s="510">
        <f t="shared" si="65"/>
        <v>148590</v>
      </c>
      <c r="J384" s="510">
        <f t="shared" si="65"/>
        <v>178000</v>
      </c>
      <c r="K384" s="510">
        <f t="shared" si="65"/>
        <v>0</v>
      </c>
      <c r="L384" s="510">
        <f t="shared" si="65"/>
        <v>0</v>
      </c>
      <c r="M384" s="510">
        <f t="shared" si="65"/>
        <v>359590</v>
      </c>
      <c r="N384" s="510">
        <f t="shared" si="65"/>
        <v>0</v>
      </c>
    </row>
    <row r="385" spans="1:14" s="341" customFormat="1" ht="128.25" customHeight="1">
      <c r="A385" s="452"/>
      <c r="B385" s="452"/>
      <c r="C385" s="453">
        <v>2320</v>
      </c>
      <c r="D385" s="511" t="s">
        <v>88</v>
      </c>
      <c r="E385" s="507">
        <f t="shared" si="59"/>
        <v>178000</v>
      </c>
      <c r="F385" s="512">
        <f>SUM(G385:K385)</f>
        <v>178000</v>
      </c>
      <c r="G385" s="512"/>
      <c r="H385" s="512"/>
      <c r="I385" s="512"/>
      <c r="J385" s="512">
        <v>178000</v>
      </c>
      <c r="K385" s="512"/>
      <c r="L385" s="512"/>
      <c r="M385" s="113"/>
      <c r="N385" s="512"/>
    </row>
    <row r="386" spans="1:14" s="341" customFormat="1" ht="34.5" customHeight="1">
      <c r="A386" s="452"/>
      <c r="B386" s="452"/>
      <c r="C386" s="453">
        <v>3020</v>
      </c>
      <c r="D386" s="511" t="s">
        <v>211</v>
      </c>
      <c r="E386" s="507">
        <f t="shared" si="59"/>
        <v>1500</v>
      </c>
      <c r="F386" s="512">
        <f t="shared" si="54"/>
        <v>1500</v>
      </c>
      <c r="G386" s="512"/>
      <c r="H386" s="512"/>
      <c r="I386" s="512"/>
      <c r="J386" s="512"/>
      <c r="K386" s="512"/>
      <c r="L386" s="512"/>
      <c r="M386" s="512">
        <v>1500</v>
      </c>
      <c r="N386" s="512"/>
    </row>
    <row r="387" spans="1:14" s="341" customFormat="1" ht="24.75" customHeight="1">
      <c r="A387" s="452"/>
      <c r="B387" s="452"/>
      <c r="C387" s="453">
        <v>3110</v>
      </c>
      <c r="D387" s="511" t="s">
        <v>89</v>
      </c>
      <c r="E387" s="507">
        <f t="shared" si="59"/>
        <v>143000</v>
      </c>
      <c r="F387" s="512">
        <f t="shared" si="54"/>
        <v>143000</v>
      </c>
      <c r="G387" s="512"/>
      <c r="H387" s="512"/>
      <c r="I387" s="512"/>
      <c r="J387" s="512"/>
      <c r="K387" s="512"/>
      <c r="L387" s="512"/>
      <c r="M387" s="512">
        <v>143000</v>
      </c>
      <c r="N387" s="512"/>
    </row>
    <row r="388" spans="1:14" s="341" customFormat="1" ht="25.5">
      <c r="A388" s="452"/>
      <c r="B388" s="452"/>
      <c r="C388" s="453">
        <v>4010</v>
      </c>
      <c r="D388" s="511" t="s">
        <v>653</v>
      </c>
      <c r="E388" s="507">
        <f t="shared" si="59"/>
        <v>760646</v>
      </c>
      <c r="F388" s="512">
        <f t="shared" si="54"/>
        <v>760646</v>
      </c>
      <c r="G388" s="512">
        <v>760646</v>
      </c>
      <c r="H388" s="512"/>
      <c r="I388" s="512"/>
      <c r="J388" s="512"/>
      <c r="K388" s="512"/>
      <c r="L388" s="512"/>
      <c r="M388" s="512"/>
      <c r="N388" s="512"/>
    </row>
    <row r="389" spans="1:14" s="341" customFormat="1" ht="25.5">
      <c r="A389" s="452"/>
      <c r="B389" s="452"/>
      <c r="C389" s="453">
        <v>4040</v>
      </c>
      <c r="D389" s="511" t="s">
        <v>654</v>
      </c>
      <c r="E389" s="507">
        <f t="shared" si="59"/>
        <v>58810</v>
      </c>
      <c r="F389" s="512">
        <f t="shared" si="54"/>
        <v>58810</v>
      </c>
      <c r="G389" s="512"/>
      <c r="H389" s="512">
        <v>58810</v>
      </c>
      <c r="I389" s="512"/>
      <c r="J389" s="512"/>
      <c r="K389" s="512"/>
      <c r="L389" s="512"/>
      <c r="M389" s="512"/>
      <c r="N389" s="512"/>
    </row>
    <row r="390" spans="1:14" s="341" customFormat="1" ht="25.5">
      <c r="A390" s="452"/>
      <c r="B390" s="452"/>
      <c r="C390" s="453">
        <v>4110</v>
      </c>
      <c r="D390" s="511" t="s">
        <v>655</v>
      </c>
      <c r="E390" s="507">
        <f t="shared" si="59"/>
        <v>128490</v>
      </c>
      <c r="F390" s="512">
        <f t="shared" si="54"/>
        <v>128490</v>
      </c>
      <c r="G390" s="512"/>
      <c r="H390" s="512"/>
      <c r="I390" s="512">
        <v>128490</v>
      </c>
      <c r="J390" s="512"/>
      <c r="K390" s="512"/>
      <c r="L390" s="512"/>
      <c r="M390" s="512"/>
      <c r="N390" s="512"/>
    </row>
    <row r="391" spans="1:14" s="341" customFormat="1" ht="15">
      <c r="A391" s="452"/>
      <c r="B391" s="452"/>
      <c r="C391" s="453">
        <v>4120</v>
      </c>
      <c r="D391" s="511" t="s">
        <v>656</v>
      </c>
      <c r="E391" s="507">
        <f t="shared" si="59"/>
        <v>20100</v>
      </c>
      <c r="F391" s="512">
        <f t="shared" si="54"/>
        <v>20100</v>
      </c>
      <c r="G391" s="512"/>
      <c r="H391" s="512"/>
      <c r="I391" s="512">
        <v>20100</v>
      </c>
      <c r="J391" s="512"/>
      <c r="K391" s="512"/>
      <c r="L391" s="512"/>
      <c r="M391" s="512"/>
      <c r="N391" s="512"/>
    </row>
    <row r="392" spans="1:14" s="341" customFormat="1" ht="33" customHeight="1">
      <c r="A392" s="470"/>
      <c r="B392" s="435"/>
      <c r="C392" s="533">
        <v>4170</v>
      </c>
      <c r="D392" s="534" t="s">
        <v>21</v>
      </c>
      <c r="E392" s="507">
        <f t="shared" si="59"/>
        <v>18000</v>
      </c>
      <c r="F392" s="512">
        <f>SUM(G392:M392)</f>
        <v>18000</v>
      </c>
      <c r="G392" s="512"/>
      <c r="H392" s="512"/>
      <c r="I392" s="535"/>
      <c r="J392" s="512"/>
      <c r="K392" s="512"/>
      <c r="L392" s="535"/>
      <c r="M392" s="512">
        <v>18000</v>
      </c>
      <c r="N392" s="512"/>
    </row>
    <row r="393" spans="1:14" s="341" customFormat="1" ht="25.5">
      <c r="A393" s="452"/>
      <c r="B393" s="452"/>
      <c r="C393" s="453">
        <v>4210</v>
      </c>
      <c r="D393" s="511" t="s">
        <v>658</v>
      </c>
      <c r="E393" s="507">
        <f t="shared" si="59"/>
        <v>25000</v>
      </c>
      <c r="F393" s="512">
        <f t="shared" si="54"/>
        <v>25000</v>
      </c>
      <c r="G393" s="512"/>
      <c r="H393" s="512"/>
      <c r="I393" s="512"/>
      <c r="J393" s="512"/>
      <c r="K393" s="512"/>
      <c r="L393" s="512"/>
      <c r="M393" s="512">
        <v>25000</v>
      </c>
      <c r="N393" s="512"/>
    </row>
    <row r="394" spans="1:14" s="341" customFormat="1" ht="39" customHeight="1">
      <c r="A394" s="452"/>
      <c r="B394" s="452"/>
      <c r="C394" s="453">
        <v>4220</v>
      </c>
      <c r="D394" s="511" t="s">
        <v>90</v>
      </c>
      <c r="E394" s="507">
        <f t="shared" si="59"/>
        <v>47300</v>
      </c>
      <c r="F394" s="512">
        <f t="shared" si="54"/>
        <v>47300</v>
      </c>
      <c r="G394" s="512"/>
      <c r="H394" s="512"/>
      <c r="I394" s="512"/>
      <c r="J394" s="512"/>
      <c r="K394" s="512"/>
      <c r="L394" s="512"/>
      <c r="M394" s="512">
        <v>47300</v>
      </c>
      <c r="N394" s="512"/>
    </row>
    <row r="395" spans="1:14" s="341" customFormat="1" ht="38.25">
      <c r="A395" s="452"/>
      <c r="B395" s="452"/>
      <c r="C395" s="453">
        <v>4230</v>
      </c>
      <c r="D395" s="511" t="s">
        <v>360</v>
      </c>
      <c r="E395" s="507">
        <f t="shared" si="59"/>
        <v>2100</v>
      </c>
      <c r="F395" s="512">
        <f t="shared" si="54"/>
        <v>2100</v>
      </c>
      <c r="G395" s="512"/>
      <c r="H395" s="512"/>
      <c r="I395" s="512"/>
      <c r="J395" s="512"/>
      <c r="K395" s="512"/>
      <c r="L395" s="512"/>
      <c r="M395" s="512">
        <v>2100</v>
      </c>
      <c r="N395" s="512"/>
    </row>
    <row r="396" spans="1:14" s="341" customFormat="1" ht="25.5">
      <c r="A396" s="452"/>
      <c r="B396" s="452"/>
      <c r="C396" s="453">
        <v>4240</v>
      </c>
      <c r="D396" s="511" t="s">
        <v>62</v>
      </c>
      <c r="E396" s="507">
        <f t="shared" si="59"/>
        <v>2100</v>
      </c>
      <c r="F396" s="512">
        <f t="shared" si="54"/>
        <v>2100</v>
      </c>
      <c r="G396" s="512"/>
      <c r="H396" s="512"/>
      <c r="I396" s="512"/>
      <c r="J396" s="512"/>
      <c r="K396" s="512"/>
      <c r="L396" s="512"/>
      <c r="M396" s="512">
        <v>2100</v>
      </c>
      <c r="N396" s="512"/>
    </row>
    <row r="397" spans="1:14" s="341" customFormat="1" ht="15">
      <c r="A397" s="452"/>
      <c r="B397" s="452"/>
      <c r="C397" s="453">
        <v>4260</v>
      </c>
      <c r="D397" s="511" t="s">
        <v>659</v>
      </c>
      <c r="E397" s="507">
        <f t="shared" si="59"/>
        <v>26250</v>
      </c>
      <c r="F397" s="512">
        <f t="shared" si="54"/>
        <v>26250</v>
      </c>
      <c r="G397" s="512"/>
      <c r="H397" s="512"/>
      <c r="I397" s="512"/>
      <c r="J397" s="512"/>
      <c r="K397" s="512"/>
      <c r="L397" s="512"/>
      <c r="M397" s="512">
        <v>26250</v>
      </c>
      <c r="N397" s="512"/>
    </row>
    <row r="398" spans="1:14" s="341" customFormat="1" ht="15">
      <c r="A398" s="452"/>
      <c r="B398" s="452"/>
      <c r="C398" s="453">
        <v>4270</v>
      </c>
      <c r="D398" s="511" t="s">
        <v>676</v>
      </c>
      <c r="E398" s="507">
        <f aca="true" t="shared" si="66" ref="E398:E462">F398+N398</f>
        <v>6600</v>
      </c>
      <c r="F398" s="512">
        <f t="shared" si="54"/>
        <v>6600</v>
      </c>
      <c r="G398" s="512"/>
      <c r="H398" s="512"/>
      <c r="I398" s="512"/>
      <c r="J398" s="512"/>
      <c r="K398" s="512"/>
      <c r="L398" s="512"/>
      <c r="M398" s="512">
        <v>6600</v>
      </c>
      <c r="N398" s="512"/>
    </row>
    <row r="399" spans="1:14" s="341" customFormat="1" ht="15">
      <c r="A399" s="452"/>
      <c r="B399" s="452"/>
      <c r="C399" s="453">
        <v>4280</v>
      </c>
      <c r="D399" s="511" t="s">
        <v>661</v>
      </c>
      <c r="E399" s="507">
        <f t="shared" si="66"/>
        <v>300</v>
      </c>
      <c r="F399" s="512">
        <f t="shared" si="54"/>
        <v>300</v>
      </c>
      <c r="G399" s="512"/>
      <c r="H399" s="512"/>
      <c r="I399" s="512"/>
      <c r="J399" s="512"/>
      <c r="K399" s="512"/>
      <c r="L399" s="512"/>
      <c r="M399" s="512">
        <v>300</v>
      </c>
      <c r="N399" s="512"/>
    </row>
    <row r="400" spans="1:14" s="341" customFormat="1" ht="30.75" customHeight="1">
      <c r="A400" s="452"/>
      <c r="B400" s="452"/>
      <c r="C400" s="453">
        <v>4300</v>
      </c>
      <c r="D400" s="511" t="s">
        <v>32</v>
      </c>
      <c r="E400" s="507">
        <f t="shared" si="66"/>
        <v>17640</v>
      </c>
      <c r="F400" s="512">
        <f t="shared" si="54"/>
        <v>17640</v>
      </c>
      <c r="G400" s="512"/>
      <c r="H400" s="512"/>
      <c r="I400" s="512"/>
      <c r="J400" s="512"/>
      <c r="K400" s="512"/>
      <c r="L400" s="512"/>
      <c r="M400" s="512">
        <v>17640</v>
      </c>
      <c r="N400" s="512"/>
    </row>
    <row r="401" spans="1:14" s="341" customFormat="1" ht="25.5">
      <c r="A401" s="452"/>
      <c r="B401" s="452"/>
      <c r="C401" s="453">
        <v>4350</v>
      </c>
      <c r="D401" s="511" t="s">
        <v>662</v>
      </c>
      <c r="E401" s="507">
        <f t="shared" si="66"/>
        <v>1200</v>
      </c>
      <c r="F401" s="512">
        <f aca="true" t="shared" si="67" ref="F401:F464">SUM(G401:M401)</f>
        <v>1200</v>
      </c>
      <c r="G401" s="512"/>
      <c r="H401" s="512"/>
      <c r="I401" s="512"/>
      <c r="J401" s="512"/>
      <c r="K401" s="512"/>
      <c r="L401" s="512"/>
      <c r="M401" s="512">
        <v>1200</v>
      </c>
      <c r="N401" s="512"/>
    </row>
    <row r="402" spans="1:14" s="341" customFormat="1" ht="38.25">
      <c r="A402" s="452"/>
      <c r="B402" s="452"/>
      <c r="C402" s="453">
        <v>4360</v>
      </c>
      <c r="D402" s="511" t="s">
        <v>70</v>
      </c>
      <c r="E402" s="507">
        <f t="shared" si="66"/>
        <v>1300</v>
      </c>
      <c r="F402" s="512">
        <f t="shared" si="67"/>
        <v>1300</v>
      </c>
      <c r="G402" s="512"/>
      <c r="H402" s="512"/>
      <c r="I402" s="512"/>
      <c r="J402" s="512"/>
      <c r="K402" s="512"/>
      <c r="L402" s="512"/>
      <c r="M402" s="512">
        <v>1300</v>
      </c>
      <c r="N402" s="512"/>
    </row>
    <row r="403" spans="1:14" s="341" customFormat="1" ht="38.25">
      <c r="A403" s="452"/>
      <c r="B403" s="452"/>
      <c r="C403" s="453">
        <v>4370</v>
      </c>
      <c r="D403" s="511" t="s">
        <v>63</v>
      </c>
      <c r="E403" s="507">
        <f t="shared" si="66"/>
        <v>5200</v>
      </c>
      <c r="F403" s="512">
        <f t="shared" si="67"/>
        <v>5200</v>
      </c>
      <c r="G403" s="512"/>
      <c r="H403" s="512"/>
      <c r="I403" s="512"/>
      <c r="J403" s="512"/>
      <c r="K403" s="512"/>
      <c r="L403" s="512"/>
      <c r="M403" s="512">
        <v>5200</v>
      </c>
      <c r="N403" s="512"/>
    </row>
    <row r="404" spans="1:14" s="341" customFormat="1" ht="15">
      <c r="A404" s="452"/>
      <c r="B404" s="452"/>
      <c r="C404" s="453">
        <v>4410</v>
      </c>
      <c r="D404" s="511" t="s">
        <v>667</v>
      </c>
      <c r="E404" s="507">
        <f t="shared" si="66"/>
        <v>3200</v>
      </c>
      <c r="F404" s="512">
        <f t="shared" si="67"/>
        <v>3200</v>
      </c>
      <c r="G404" s="512"/>
      <c r="H404" s="512"/>
      <c r="I404" s="512"/>
      <c r="J404" s="512"/>
      <c r="K404" s="512"/>
      <c r="L404" s="512"/>
      <c r="M404" s="512">
        <v>3200</v>
      </c>
      <c r="N404" s="512"/>
    </row>
    <row r="405" spans="1:14" s="341" customFormat="1" ht="15">
      <c r="A405" s="452"/>
      <c r="B405" s="452"/>
      <c r="C405" s="453">
        <v>4430</v>
      </c>
      <c r="D405" s="511" t="s">
        <v>668</v>
      </c>
      <c r="E405" s="507">
        <f t="shared" si="66"/>
        <v>2600</v>
      </c>
      <c r="F405" s="512">
        <f t="shared" si="67"/>
        <v>2600</v>
      </c>
      <c r="G405" s="512"/>
      <c r="H405" s="512"/>
      <c r="I405" s="512"/>
      <c r="J405" s="512"/>
      <c r="K405" s="512"/>
      <c r="L405" s="512"/>
      <c r="M405" s="512">
        <v>2600</v>
      </c>
      <c r="N405" s="512"/>
    </row>
    <row r="406" spans="1:14" s="341" customFormat="1" ht="38.25">
      <c r="A406" s="452"/>
      <c r="B406" s="452"/>
      <c r="C406" s="453">
        <v>4440</v>
      </c>
      <c r="D406" s="511" t="s">
        <v>669</v>
      </c>
      <c r="E406" s="507">
        <f t="shared" si="66"/>
        <v>42600</v>
      </c>
      <c r="F406" s="512">
        <f t="shared" si="67"/>
        <v>42600</v>
      </c>
      <c r="G406" s="512"/>
      <c r="H406" s="512"/>
      <c r="I406" s="512"/>
      <c r="J406" s="512"/>
      <c r="K406" s="512"/>
      <c r="L406" s="512"/>
      <c r="M406" s="512">
        <v>42600</v>
      </c>
      <c r="N406" s="512"/>
    </row>
    <row r="407" spans="1:14" s="341" customFormat="1" ht="15">
      <c r="A407" s="452"/>
      <c r="B407" s="452"/>
      <c r="C407" s="453">
        <v>4480</v>
      </c>
      <c r="D407" s="511" t="s">
        <v>670</v>
      </c>
      <c r="E407" s="507">
        <f t="shared" si="66"/>
        <v>10000</v>
      </c>
      <c r="F407" s="512">
        <f t="shared" si="67"/>
        <v>10000</v>
      </c>
      <c r="G407" s="512"/>
      <c r="H407" s="512"/>
      <c r="I407" s="512"/>
      <c r="J407" s="512"/>
      <c r="K407" s="512"/>
      <c r="L407" s="512"/>
      <c r="M407" s="512">
        <v>10000</v>
      </c>
      <c r="N407" s="512"/>
    </row>
    <row r="408" spans="1:14" s="341" customFormat="1" ht="25.5">
      <c r="A408" s="452"/>
      <c r="B408" s="452"/>
      <c r="C408" s="453">
        <v>4520</v>
      </c>
      <c r="D408" s="511" t="s">
        <v>91</v>
      </c>
      <c r="E408" s="507">
        <f t="shared" si="66"/>
        <v>1300</v>
      </c>
      <c r="F408" s="512">
        <f t="shared" si="67"/>
        <v>1300</v>
      </c>
      <c r="G408" s="512"/>
      <c r="H408" s="512"/>
      <c r="I408" s="512"/>
      <c r="J408" s="512"/>
      <c r="K408" s="512"/>
      <c r="L408" s="512"/>
      <c r="M408" s="512">
        <v>1300</v>
      </c>
      <c r="N408" s="512"/>
    </row>
    <row r="409" spans="1:14" s="341" customFormat="1" ht="51">
      <c r="A409" s="452"/>
      <c r="B409" s="452"/>
      <c r="C409" s="453">
        <v>4740</v>
      </c>
      <c r="D409" s="511" t="s">
        <v>24</v>
      </c>
      <c r="E409" s="507">
        <f t="shared" si="66"/>
        <v>1300</v>
      </c>
      <c r="F409" s="512">
        <f t="shared" si="67"/>
        <v>1300</v>
      </c>
      <c r="G409" s="512"/>
      <c r="H409" s="512"/>
      <c r="I409" s="512"/>
      <c r="J409" s="512"/>
      <c r="K409" s="512"/>
      <c r="L409" s="512"/>
      <c r="M409" s="512">
        <v>1300</v>
      </c>
      <c r="N409" s="512"/>
    </row>
    <row r="410" spans="1:14" s="341" customFormat="1" ht="38.25">
      <c r="A410" s="452"/>
      <c r="B410" s="452"/>
      <c r="C410" s="453">
        <v>4750</v>
      </c>
      <c r="D410" s="511" t="s">
        <v>64</v>
      </c>
      <c r="E410" s="507">
        <f t="shared" si="66"/>
        <v>1100</v>
      </c>
      <c r="F410" s="512">
        <f t="shared" si="67"/>
        <v>1100</v>
      </c>
      <c r="G410" s="512"/>
      <c r="H410" s="512"/>
      <c r="I410" s="512"/>
      <c r="J410" s="512"/>
      <c r="K410" s="512"/>
      <c r="L410" s="512"/>
      <c r="M410" s="512">
        <v>1100</v>
      </c>
      <c r="N410" s="512"/>
    </row>
    <row r="411" spans="1:14" s="341" customFormat="1" ht="25.5">
      <c r="A411" s="470"/>
      <c r="B411" s="435"/>
      <c r="C411" s="453">
        <v>6050</v>
      </c>
      <c r="D411" s="511" t="s">
        <v>377</v>
      </c>
      <c r="E411" s="507">
        <f t="shared" si="66"/>
        <v>0</v>
      </c>
      <c r="F411" s="512">
        <f>SUM(G411:M411)</f>
        <v>0</v>
      </c>
      <c r="G411" s="512"/>
      <c r="H411" s="512"/>
      <c r="I411" s="512"/>
      <c r="J411" s="512"/>
      <c r="K411" s="512"/>
      <c r="L411" s="512"/>
      <c r="M411" s="512"/>
      <c r="N411" s="512"/>
    </row>
    <row r="412" spans="1:14" s="343" customFormat="1" ht="15.75">
      <c r="A412" s="432"/>
      <c r="B412" s="442">
        <v>85202</v>
      </c>
      <c r="C412" s="443"/>
      <c r="D412" s="444" t="s">
        <v>92</v>
      </c>
      <c r="E412" s="507">
        <f t="shared" si="66"/>
        <v>12349524</v>
      </c>
      <c r="F412" s="510">
        <f t="shared" si="67"/>
        <v>9733510</v>
      </c>
      <c r="G412" s="510">
        <f aca="true" t="shared" si="68" ref="G412:N412">SUM(G413:G439)</f>
        <v>4819540</v>
      </c>
      <c r="H412" s="510">
        <f t="shared" si="68"/>
        <v>408100</v>
      </c>
      <c r="I412" s="510">
        <f t="shared" si="68"/>
        <v>961200</v>
      </c>
      <c r="J412" s="510">
        <f t="shared" si="68"/>
        <v>0</v>
      </c>
      <c r="K412" s="510">
        <f t="shared" si="68"/>
        <v>0</v>
      </c>
      <c r="L412" s="510">
        <f t="shared" si="68"/>
        <v>0</v>
      </c>
      <c r="M412" s="510">
        <f t="shared" si="68"/>
        <v>3544670</v>
      </c>
      <c r="N412" s="510">
        <f t="shared" si="68"/>
        <v>2616014</v>
      </c>
    </row>
    <row r="413" spans="1:14" s="341" customFormat="1" ht="47.25" customHeight="1">
      <c r="A413" s="470"/>
      <c r="B413" s="452"/>
      <c r="C413" s="453">
        <v>3020</v>
      </c>
      <c r="D413" s="511" t="s">
        <v>93</v>
      </c>
      <c r="E413" s="507">
        <f t="shared" si="66"/>
        <v>22100</v>
      </c>
      <c r="F413" s="512">
        <f t="shared" si="67"/>
        <v>22100</v>
      </c>
      <c r="G413" s="512"/>
      <c r="H413" s="512"/>
      <c r="I413" s="512"/>
      <c r="J413" s="512"/>
      <c r="K413" s="512"/>
      <c r="L413" s="512"/>
      <c r="M413" s="512">
        <v>22100</v>
      </c>
      <c r="N413" s="512"/>
    </row>
    <row r="414" spans="1:14" s="341" customFormat="1" ht="42.75" customHeight="1">
      <c r="A414" s="470"/>
      <c r="B414" s="452"/>
      <c r="C414" s="453">
        <v>4010</v>
      </c>
      <c r="D414" s="511" t="s">
        <v>653</v>
      </c>
      <c r="E414" s="507">
        <f t="shared" si="66"/>
        <v>4819540</v>
      </c>
      <c r="F414" s="512">
        <f t="shared" si="67"/>
        <v>4819540</v>
      </c>
      <c r="G414" s="512">
        <v>4819540</v>
      </c>
      <c r="H414" s="512"/>
      <c r="I414" s="512"/>
      <c r="J414" s="512"/>
      <c r="K414" s="512"/>
      <c r="L414" s="512"/>
      <c r="M414" s="512"/>
      <c r="N414" s="512"/>
    </row>
    <row r="415" spans="1:14" s="341" customFormat="1" ht="25.5">
      <c r="A415" s="470"/>
      <c r="B415" s="452"/>
      <c r="C415" s="453">
        <v>4040</v>
      </c>
      <c r="D415" s="511" t="s">
        <v>654</v>
      </c>
      <c r="E415" s="507">
        <f t="shared" si="66"/>
        <v>408100</v>
      </c>
      <c r="F415" s="512">
        <f t="shared" si="67"/>
        <v>408100</v>
      </c>
      <c r="G415" s="512"/>
      <c r="H415" s="512">
        <v>408100</v>
      </c>
      <c r="I415" s="512"/>
      <c r="J415" s="512"/>
      <c r="K415" s="512"/>
      <c r="L415" s="512"/>
      <c r="M415" s="512"/>
      <c r="N415" s="512"/>
    </row>
    <row r="416" spans="1:14" s="341" customFormat="1" ht="25.5">
      <c r="A416" s="470"/>
      <c r="B416" s="452"/>
      <c r="C416" s="453">
        <v>4110</v>
      </c>
      <c r="D416" s="511" t="s">
        <v>655</v>
      </c>
      <c r="E416" s="507">
        <f t="shared" si="66"/>
        <v>831300</v>
      </c>
      <c r="F416" s="512">
        <f t="shared" si="67"/>
        <v>831300</v>
      </c>
      <c r="G416" s="512"/>
      <c r="H416" s="512"/>
      <c r="I416" s="512">
        <v>831300</v>
      </c>
      <c r="J416" s="512"/>
      <c r="K416" s="512"/>
      <c r="L416" s="512"/>
      <c r="M416" s="512"/>
      <c r="N416" s="512"/>
    </row>
    <row r="417" spans="1:14" s="341" customFormat="1" ht="15">
      <c r="A417" s="470"/>
      <c r="B417" s="452"/>
      <c r="C417" s="453">
        <v>4120</v>
      </c>
      <c r="D417" s="511" t="s">
        <v>656</v>
      </c>
      <c r="E417" s="507">
        <f t="shared" si="66"/>
        <v>129900</v>
      </c>
      <c r="F417" s="512">
        <f t="shared" si="67"/>
        <v>129900</v>
      </c>
      <c r="G417" s="512"/>
      <c r="H417" s="512"/>
      <c r="I417" s="512">
        <v>129900</v>
      </c>
      <c r="J417" s="512"/>
      <c r="K417" s="512"/>
      <c r="L417" s="512"/>
      <c r="M417" s="512"/>
      <c r="N417" s="512"/>
    </row>
    <row r="418" spans="1:14" s="341" customFormat="1" ht="15.75" customHeight="1" hidden="1">
      <c r="A418" s="470"/>
      <c r="B418" s="452"/>
      <c r="C418" s="453">
        <v>4140</v>
      </c>
      <c r="D418" s="511" t="s">
        <v>359</v>
      </c>
      <c r="E418" s="507">
        <f t="shared" si="66"/>
        <v>0</v>
      </c>
      <c r="F418" s="512">
        <f t="shared" si="67"/>
        <v>0</v>
      </c>
      <c r="G418" s="512"/>
      <c r="H418" s="512"/>
      <c r="I418" s="512"/>
      <c r="J418" s="512"/>
      <c r="K418" s="512"/>
      <c r="L418" s="512"/>
      <c r="M418" s="512"/>
      <c r="N418" s="512"/>
    </row>
    <row r="419" spans="1:14" s="341" customFormat="1" ht="25.5">
      <c r="A419" s="470"/>
      <c r="B419" s="452"/>
      <c r="C419" s="453">
        <v>4170</v>
      </c>
      <c r="D419" s="511" t="s">
        <v>94</v>
      </c>
      <c r="E419" s="507">
        <f t="shared" si="66"/>
        <v>60400</v>
      </c>
      <c r="F419" s="512">
        <f t="shared" si="67"/>
        <v>60400</v>
      </c>
      <c r="G419" s="512"/>
      <c r="H419" s="512"/>
      <c r="I419" s="512"/>
      <c r="J419" s="512"/>
      <c r="K419" s="512"/>
      <c r="L419" s="512"/>
      <c r="M419" s="512">
        <v>60400</v>
      </c>
      <c r="N419" s="512"/>
    </row>
    <row r="420" spans="1:14" s="341" customFormat="1" ht="50.25" customHeight="1">
      <c r="A420" s="470"/>
      <c r="B420" s="452"/>
      <c r="C420" s="453">
        <v>4210</v>
      </c>
      <c r="D420" s="511" t="s">
        <v>658</v>
      </c>
      <c r="E420" s="507">
        <f t="shared" si="66"/>
        <v>1038500</v>
      </c>
      <c r="F420" s="512">
        <f t="shared" si="67"/>
        <v>1038500</v>
      </c>
      <c r="G420" s="512"/>
      <c r="H420" s="512"/>
      <c r="I420" s="512"/>
      <c r="J420" s="512"/>
      <c r="K420" s="512"/>
      <c r="L420" s="512"/>
      <c r="M420" s="512">
        <v>1038500</v>
      </c>
      <c r="N420" s="512"/>
    </row>
    <row r="421" spans="1:14" s="341" customFormat="1" ht="30.75" customHeight="1">
      <c r="A421" s="470"/>
      <c r="B421" s="452"/>
      <c r="C421" s="453">
        <v>4220</v>
      </c>
      <c r="D421" s="511" t="s">
        <v>90</v>
      </c>
      <c r="E421" s="507">
        <f t="shared" si="66"/>
        <v>521350</v>
      </c>
      <c r="F421" s="512">
        <f t="shared" si="67"/>
        <v>521350</v>
      </c>
      <c r="G421" s="512"/>
      <c r="H421" s="512"/>
      <c r="I421" s="512"/>
      <c r="J421" s="512"/>
      <c r="K421" s="512"/>
      <c r="L421" s="512"/>
      <c r="M421" s="512">
        <v>521350</v>
      </c>
      <c r="N421" s="512"/>
    </row>
    <row r="422" spans="1:14" s="341" customFormat="1" ht="38.25">
      <c r="A422" s="470"/>
      <c r="B422" s="452"/>
      <c r="C422" s="453">
        <v>4230</v>
      </c>
      <c r="D422" s="511" t="s">
        <v>360</v>
      </c>
      <c r="E422" s="507">
        <f t="shared" si="66"/>
        <v>210680</v>
      </c>
      <c r="F422" s="512">
        <f t="shared" si="67"/>
        <v>210680</v>
      </c>
      <c r="G422" s="512"/>
      <c r="H422" s="512"/>
      <c r="I422" s="512"/>
      <c r="J422" s="512"/>
      <c r="K422" s="512"/>
      <c r="L422" s="512"/>
      <c r="M422" s="512">
        <v>210680</v>
      </c>
      <c r="N422" s="512"/>
    </row>
    <row r="423" spans="1:14" s="341" customFormat="1" ht="15">
      <c r="A423" s="470"/>
      <c r="B423" s="452"/>
      <c r="C423" s="453">
        <v>4260</v>
      </c>
      <c r="D423" s="511" t="s">
        <v>659</v>
      </c>
      <c r="E423" s="507">
        <f t="shared" si="66"/>
        <v>292930</v>
      </c>
      <c r="F423" s="512">
        <f t="shared" si="67"/>
        <v>292930</v>
      </c>
      <c r="G423" s="512"/>
      <c r="H423" s="512"/>
      <c r="I423" s="512"/>
      <c r="J423" s="512"/>
      <c r="K423" s="512"/>
      <c r="L423" s="512"/>
      <c r="M423" s="512">
        <v>292930</v>
      </c>
      <c r="N423" s="512"/>
    </row>
    <row r="424" spans="1:14" s="341" customFormat="1" ht="15">
      <c r="A424" s="470"/>
      <c r="B424" s="452"/>
      <c r="C424" s="453">
        <v>4270</v>
      </c>
      <c r="D424" s="511" t="s">
        <v>660</v>
      </c>
      <c r="E424" s="507">
        <f t="shared" si="66"/>
        <v>89100</v>
      </c>
      <c r="F424" s="512">
        <f t="shared" si="67"/>
        <v>89100</v>
      </c>
      <c r="G424" s="512"/>
      <c r="H424" s="512"/>
      <c r="I424" s="512"/>
      <c r="J424" s="512"/>
      <c r="K424" s="512"/>
      <c r="L424" s="512"/>
      <c r="M424" s="512">
        <v>89100</v>
      </c>
      <c r="N424" s="512"/>
    </row>
    <row r="425" spans="1:14" s="341" customFormat="1" ht="53.25" customHeight="1">
      <c r="A425" s="470"/>
      <c r="B425" s="452"/>
      <c r="C425" s="453">
        <v>4280</v>
      </c>
      <c r="D425" s="511" t="s">
        <v>661</v>
      </c>
      <c r="E425" s="507">
        <f t="shared" si="66"/>
        <v>13400</v>
      </c>
      <c r="F425" s="512">
        <f t="shared" si="67"/>
        <v>13400</v>
      </c>
      <c r="G425" s="512"/>
      <c r="H425" s="512"/>
      <c r="I425" s="512"/>
      <c r="J425" s="512"/>
      <c r="K425" s="512"/>
      <c r="L425" s="512"/>
      <c r="M425" s="512">
        <v>13400</v>
      </c>
      <c r="N425" s="512"/>
    </row>
    <row r="426" spans="1:14" s="341" customFormat="1" ht="15">
      <c r="A426" s="470"/>
      <c r="B426" s="452"/>
      <c r="C426" s="453">
        <v>4300</v>
      </c>
      <c r="D426" s="511" t="s">
        <v>641</v>
      </c>
      <c r="E426" s="507">
        <f t="shared" si="66"/>
        <v>928370</v>
      </c>
      <c r="F426" s="512">
        <f t="shared" si="67"/>
        <v>928370</v>
      </c>
      <c r="G426" s="512"/>
      <c r="H426" s="512"/>
      <c r="I426" s="512"/>
      <c r="J426" s="512"/>
      <c r="K426" s="512"/>
      <c r="L426" s="512"/>
      <c r="M426" s="512">
        <v>928370</v>
      </c>
      <c r="N426" s="512"/>
    </row>
    <row r="427" spans="1:14" s="341" customFormat="1" ht="25.5">
      <c r="A427" s="470"/>
      <c r="B427" s="452"/>
      <c r="C427" s="453">
        <v>4350</v>
      </c>
      <c r="D427" s="511" t="s">
        <v>662</v>
      </c>
      <c r="E427" s="507">
        <f t="shared" si="66"/>
        <v>6550</v>
      </c>
      <c r="F427" s="512">
        <f t="shared" si="67"/>
        <v>6550</v>
      </c>
      <c r="G427" s="512"/>
      <c r="H427" s="512"/>
      <c r="I427" s="512"/>
      <c r="J427" s="512"/>
      <c r="K427" s="512"/>
      <c r="L427" s="512"/>
      <c r="M427" s="512">
        <v>6550</v>
      </c>
      <c r="N427" s="512"/>
    </row>
    <row r="428" spans="1:14" s="341" customFormat="1" ht="38.25">
      <c r="A428" s="470"/>
      <c r="B428" s="452"/>
      <c r="C428" s="453">
        <v>4360</v>
      </c>
      <c r="D428" s="511" t="s">
        <v>70</v>
      </c>
      <c r="E428" s="507">
        <f t="shared" si="66"/>
        <v>12500</v>
      </c>
      <c r="F428" s="512">
        <f t="shared" si="67"/>
        <v>12500</v>
      </c>
      <c r="G428" s="512"/>
      <c r="H428" s="512"/>
      <c r="I428" s="512"/>
      <c r="J428" s="512"/>
      <c r="K428" s="512"/>
      <c r="L428" s="512"/>
      <c r="M428" s="512">
        <v>12500</v>
      </c>
      <c r="N428" s="512"/>
    </row>
    <row r="429" spans="1:14" s="341" customFormat="1" ht="48" customHeight="1">
      <c r="A429" s="470"/>
      <c r="B429" s="452"/>
      <c r="C429" s="453">
        <v>4370</v>
      </c>
      <c r="D429" s="511" t="s">
        <v>63</v>
      </c>
      <c r="E429" s="507">
        <f t="shared" si="66"/>
        <v>23300</v>
      </c>
      <c r="F429" s="512">
        <f t="shared" si="67"/>
        <v>23300</v>
      </c>
      <c r="G429" s="512"/>
      <c r="H429" s="512"/>
      <c r="I429" s="512"/>
      <c r="J429" s="512"/>
      <c r="K429" s="512"/>
      <c r="L429" s="512"/>
      <c r="M429" s="512">
        <v>23300</v>
      </c>
      <c r="N429" s="512"/>
    </row>
    <row r="430" spans="1:14" s="341" customFormat="1" ht="15">
      <c r="A430" s="470"/>
      <c r="B430" s="452"/>
      <c r="C430" s="453">
        <v>4410</v>
      </c>
      <c r="D430" s="511" t="s">
        <v>667</v>
      </c>
      <c r="E430" s="507">
        <f t="shared" si="66"/>
        <v>10560</v>
      </c>
      <c r="F430" s="512">
        <f t="shared" si="67"/>
        <v>10560</v>
      </c>
      <c r="G430" s="512"/>
      <c r="H430" s="512"/>
      <c r="I430" s="512"/>
      <c r="J430" s="512"/>
      <c r="K430" s="512"/>
      <c r="L430" s="512"/>
      <c r="M430" s="512">
        <v>10560</v>
      </c>
      <c r="N430" s="512"/>
    </row>
    <row r="431" spans="1:14" s="341" customFormat="1" ht="15">
      <c r="A431" s="470"/>
      <c r="B431" s="452"/>
      <c r="C431" s="453">
        <v>4430</v>
      </c>
      <c r="D431" s="511" t="s">
        <v>668</v>
      </c>
      <c r="E431" s="507">
        <f t="shared" si="66"/>
        <v>31100</v>
      </c>
      <c r="F431" s="512">
        <f t="shared" si="67"/>
        <v>31100</v>
      </c>
      <c r="G431" s="512"/>
      <c r="H431" s="512"/>
      <c r="I431" s="512"/>
      <c r="J431" s="512"/>
      <c r="K431" s="512"/>
      <c r="L431" s="512"/>
      <c r="M431" s="512">
        <v>31100</v>
      </c>
      <c r="N431" s="512"/>
    </row>
    <row r="432" spans="1:14" s="341" customFormat="1" ht="38.25">
      <c r="A432" s="470"/>
      <c r="B432" s="452"/>
      <c r="C432" s="453">
        <v>4440</v>
      </c>
      <c r="D432" s="511" t="s">
        <v>669</v>
      </c>
      <c r="E432" s="507">
        <f t="shared" si="66"/>
        <v>204500</v>
      </c>
      <c r="F432" s="512">
        <f t="shared" si="67"/>
        <v>204500</v>
      </c>
      <c r="G432" s="512"/>
      <c r="H432" s="512"/>
      <c r="I432" s="512"/>
      <c r="J432" s="512"/>
      <c r="K432" s="512"/>
      <c r="L432" s="512"/>
      <c r="M432" s="512">
        <v>204500</v>
      </c>
      <c r="N432" s="512"/>
    </row>
    <row r="433" spans="1:14" s="341" customFormat="1" ht="36" customHeight="1">
      <c r="A433" s="470"/>
      <c r="B433" s="452"/>
      <c r="C433" s="453">
        <v>4480</v>
      </c>
      <c r="D433" s="511" t="s">
        <v>670</v>
      </c>
      <c r="E433" s="507">
        <f t="shared" si="66"/>
        <v>46400</v>
      </c>
      <c r="F433" s="512">
        <f t="shared" si="67"/>
        <v>46400</v>
      </c>
      <c r="G433" s="512"/>
      <c r="H433" s="512"/>
      <c r="I433" s="512"/>
      <c r="J433" s="512"/>
      <c r="K433" s="512"/>
      <c r="L433" s="512"/>
      <c r="M433" s="512">
        <v>46400</v>
      </c>
      <c r="N433" s="512"/>
    </row>
    <row r="434" spans="1:14" s="341" customFormat="1" ht="47.25" customHeight="1">
      <c r="A434" s="470"/>
      <c r="B434" s="452"/>
      <c r="C434" s="453">
        <v>4520</v>
      </c>
      <c r="D434" s="511" t="s">
        <v>95</v>
      </c>
      <c r="E434" s="507">
        <f t="shared" si="66"/>
        <v>4600</v>
      </c>
      <c r="F434" s="512">
        <f t="shared" si="67"/>
        <v>4600</v>
      </c>
      <c r="G434" s="512"/>
      <c r="H434" s="512"/>
      <c r="I434" s="512"/>
      <c r="J434" s="512"/>
      <c r="K434" s="512"/>
      <c r="L434" s="512"/>
      <c r="M434" s="512">
        <v>4600</v>
      </c>
      <c r="N434" s="512"/>
    </row>
    <row r="435" spans="1:14" s="341" customFormat="1" ht="48" customHeight="1">
      <c r="A435" s="470"/>
      <c r="B435" s="452"/>
      <c r="C435" s="453">
        <v>4700</v>
      </c>
      <c r="D435" s="511" t="s">
        <v>210</v>
      </c>
      <c r="E435" s="507">
        <f t="shared" si="66"/>
        <v>12890</v>
      </c>
      <c r="F435" s="512">
        <f t="shared" si="67"/>
        <v>12890</v>
      </c>
      <c r="G435" s="512"/>
      <c r="H435" s="512"/>
      <c r="I435" s="512"/>
      <c r="J435" s="512"/>
      <c r="K435" s="512"/>
      <c r="L435" s="512"/>
      <c r="M435" s="512">
        <v>12890</v>
      </c>
      <c r="N435" s="512"/>
    </row>
    <row r="436" spans="1:14" s="341" customFormat="1" ht="51">
      <c r="A436" s="470"/>
      <c r="B436" s="452"/>
      <c r="C436" s="453">
        <v>4740</v>
      </c>
      <c r="D436" s="511" t="s">
        <v>24</v>
      </c>
      <c r="E436" s="507">
        <f t="shared" si="66"/>
        <v>7170</v>
      </c>
      <c r="F436" s="512">
        <f t="shared" si="67"/>
        <v>7170</v>
      </c>
      <c r="G436" s="512"/>
      <c r="H436" s="512"/>
      <c r="I436" s="512"/>
      <c r="J436" s="512"/>
      <c r="K436" s="512"/>
      <c r="L436" s="512"/>
      <c r="M436" s="512">
        <v>7170</v>
      </c>
      <c r="N436" s="512"/>
    </row>
    <row r="437" spans="1:14" s="341" customFormat="1" ht="38.25">
      <c r="A437" s="470"/>
      <c r="B437" s="452"/>
      <c r="C437" s="453">
        <v>4750</v>
      </c>
      <c r="D437" s="511" t="s">
        <v>64</v>
      </c>
      <c r="E437" s="507">
        <f t="shared" si="66"/>
        <v>8270</v>
      </c>
      <c r="F437" s="512">
        <f t="shared" si="67"/>
        <v>8270</v>
      </c>
      <c r="G437" s="512"/>
      <c r="H437" s="512"/>
      <c r="I437" s="512"/>
      <c r="J437" s="512"/>
      <c r="K437" s="512"/>
      <c r="L437" s="512"/>
      <c r="M437" s="512">
        <v>8270</v>
      </c>
      <c r="N437" s="512"/>
    </row>
    <row r="438" spans="1:14" s="341" customFormat="1" ht="41.25" customHeight="1">
      <c r="A438" s="435"/>
      <c r="B438" s="435"/>
      <c r="C438" s="453">
        <v>6050</v>
      </c>
      <c r="D438" s="517" t="s">
        <v>377</v>
      </c>
      <c r="E438" s="507">
        <f t="shared" si="66"/>
        <v>2616014</v>
      </c>
      <c r="F438" s="512">
        <f t="shared" si="67"/>
        <v>0</v>
      </c>
      <c r="G438" s="512"/>
      <c r="H438" s="512"/>
      <c r="I438" s="512"/>
      <c r="J438" s="512"/>
      <c r="K438" s="512"/>
      <c r="L438" s="512"/>
      <c r="M438" s="512"/>
      <c r="N438" s="512">
        <v>2616014</v>
      </c>
    </row>
    <row r="439" spans="1:14" s="341" customFormat="1" ht="15" customHeight="1" hidden="1">
      <c r="A439" s="435"/>
      <c r="B439" s="435"/>
      <c r="C439" s="453">
        <v>6060</v>
      </c>
      <c r="D439" s="517" t="s">
        <v>212</v>
      </c>
      <c r="E439" s="507">
        <f t="shared" si="66"/>
        <v>0</v>
      </c>
      <c r="F439" s="512">
        <f t="shared" si="67"/>
        <v>0</v>
      </c>
      <c r="G439" s="512"/>
      <c r="H439" s="512"/>
      <c r="I439" s="512"/>
      <c r="J439" s="512"/>
      <c r="K439" s="512"/>
      <c r="L439" s="512"/>
      <c r="M439" s="512"/>
      <c r="N439" s="512"/>
    </row>
    <row r="440" spans="1:14" s="343" customFormat="1" ht="15.75">
      <c r="A440" s="432"/>
      <c r="B440" s="442">
        <v>85203</v>
      </c>
      <c r="C440" s="443"/>
      <c r="D440" s="444" t="s">
        <v>96</v>
      </c>
      <c r="E440" s="507">
        <f t="shared" si="66"/>
        <v>754000</v>
      </c>
      <c r="F440" s="510">
        <f t="shared" si="67"/>
        <v>754000</v>
      </c>
      <c r="G440" s="510">
        <f aca="true" t="shared" si="69" ref="G440:N440">SUM(G441:G464)</f>
        <v>425780</v>
      </c>
      <c r="H440" s="510">
        <f t="shared" si="69"/>
        <v>34700</v>
      </c>
      <c r="I440" s="510">
        <f t="shared" si="69"/>
        <v>79280</v>
      </c>
      <c r="J440" s="510">
        <f t="shared" si="69"/>
        <v>0</v>
      </c>
      <c r="K440" s="510">
        <f t="shared" si="69"/>
        <v>0</v>
      </c>
      <c r="L440" s="510">
        <f t="shared" si="69"/>
        <v>0</v>
      </c>
      <c r="M440" s="510">
        <f t="shared" si="69"/>
        <v>214240</v>
      </c>
      <c r="N440" s="510">
        <f t="shared" si="69"/>
        <v>0</v>
      </c>
    </row>
    <row r="441" spans="1:14" s="341" customFormat="1" ht="25.5">
      <c r="A441" s="470"/>
      <c r="B441" s="452"/>
      <c r="C441" s="453">
        <v>3020</v>
      </c>
      <c r="D441" s="511" t="s">
        <v>93</v>
      </c>
      <c r="E441" s="507">
        <f t="shared" si="66"/>
        <v>800</v>
      </c>
      <c r="F441" s="512">
        <f t="shared" si="67"/>
        <v>800</v>
      </c>
      <c r="G441" s="512"/>
      <c r="H441" s="512"/>
      <c r="I441" s="512"/>
      <c r="J441" s="512"/>
      <c r="K441" s="512"/>
      <c r="L441" s="512"/>
      <c r="M441" s="512">
        <v>800</v>
      </c>
      <c r="N441" s="512"/>
    </row>
    <row r="442" spans="1:14" s="341" customFormat="1" ht="25.5">
      <c r="A442" s="470"/>
      <c r="B442" s="452"/>
      <c r="C442" s="453">
        <v>4010</v>
      </c>
      <c r="D442" s="511" t="s">
        <v>653</v>
      </c>
      <c r="E442" s="507">
        <f t="shared" si="66"/>
        <v>425780</v>
      </c>
      <c r="F442" s="512">
        <f t="shared" si="67"/>
        <v>425780</v>
      </c>
      <c r="G442" s="512">
        <v>425780</v>
      </c>
      <c r="H442" s="512"/>
      <c r="I442" s="512"/>
      <c r="J442" s="512"/>
      <c r="K442" s="512"/>
      <c r="L442" s="512"/>
      <c r="M442" s="512"/>
      <c r="N442" s="512"/>
    </row>
    <row r="443" spans="1:14" s="341" customFormat="1" ht="25.5">
      <c r="A443" s="470"/>
      <c r="B443" s="452"/>
      <c r="C443" s="453">
        <v>4040</v>
      </c>
      <c r="D443" s="511" t="s">
        <v>654</v>
      </c>
      <c r="E443" s="507">
        <f t="shared" si="66"/>
        <v>34700</v>
      </c>
      <c r="F443" s="512">
        <f t="shared" si="67"/>
        <v>34700</v>
      </c>
      <c r="G443" s="512"/>
      <c r="H443" s="512">
        <v>34700</v>
      </c>
      <c r="I443" s="512"/>
      <c r="J443" s="512"/>
      <c r="K443" s="512"/>
      <c r="L443" s="512"/>
      <c r="M443" s="512"/>
      <c r="N443" s="512"/>
    </row>
    <row r="444" spans="1:14" s="341" customFormat="1" ht="25.5">
      <c r="A444" s="470"/>
      <c r="B444" s="452"/>
      <c r="C444" s="453">
        <v>4110</v>
      </c>
      <c r="D444" s="511" t="s">
        <v>655</v>
      </c>
      <c r="E444" s="507">
        <f t="shared" si="66"/>
        <v>68540</v>
      </c>
      <c r="F444" s="512">
        <f t="shared" si="67"/>
        <v>68540</v>
      </c>
      <c r="G444" s="512"/>
      <c r="H444" s="512"/>
      <c r="I444" s="512">
        <v>68540</v>
      </c>
      <c r="J444" s="512"/>
      <c r="K444" s="512"/>
      <c r="L444" s="512"/>
      <c r="M444" s="512"/>
      <c r="N444" s="512"/>
    </row>
    <row r="445" spans="1:14" s="341" customFormat="1" ht="15">
      <c r="A445" s="470"/>
      <c r="B445" s="452"/>
      <c r="C445" s="453">
        <v>4120</v>
      </c>
      <c r="D445" s="511" t="s">
        <v>656</v>
      </c>
      <c r="E445" s="507">
        <f t="shared" si="66"/>
        <v>10740</v>
      </c>
      <c r="F445" s="512">
        <f t="shared" si="67"/>
        <v>10740</v>
      </c>
      <c r="G445" s="512"/>
      <c r="H445" s="512"/>
      <c r="I445" s="512">
        <v>10740</v>
      </c>
      <c r="J445" s="512"/>
      <c r="K445" s="512"/>
      <c r="L445" s="512"/>
      <c r="M445" s="512"/>
      <c r="N445" s="512"/>
    </row>
    <row r="446" spans="1:14" s="341" customFormat="1" ht="31.5" customHeight="1">
      <c r="A446" s="470"/>
      <c r="B446" s="452"/>
      <c r="C446" s="453">
        <v>4170</v>
      </c>
      <c r="D446" s="511" t="s">
        <v>94</v>
      </c>
      <c r="E446" s="507">
        <f t="shared" si="66"/>
        <v>8700</v>
      </c>
      <c r="F446" s="512">
        <f t="shared" si="67"/>
        <v>8700</v>
      </c>
      <c r="G446" s="512"/>
      <c r="H446" s="512"/>
      <c r="I446" s="512"/>
      <c r="J446" s="512"/>
      <c r="K446" s="512"/>
      <c r="L446" s="512"/>
      <c r="M446" s="512">
        <v>8700</v>
      </c>
      <c r="N446" s="512"/>
    </row>
    <row r="447" spans="1:14" s="341" customFormat="1" ht="32.25" customHeight="1">
      <c r="A447" s="470"/>
      <c r="B447" s="452"/>
      <c r="C447" s="453">
        <v>4210</v>
      </c>
      <c r="D447" s="511" t="s">
        <v>658</v>
      </c>
      <c r="E447" s="507">
        <f t="shared" si="66"/>
        <v>64560</v>
      </c>
      <c r="F447" s="512">
        <f t="shared" si="67"/>
        <v>64560</v>
      </c>
      <c r="G447" s="512"/>
      <c r="H447" s="512"/>
      <c r="I447" s="512"/>
      <c r="J447" s="512"/>
      <c r="K447" s="512"/>
      <c r="L447" s="512"/>
      <c r="M447" s="512">
        <v>64560</v>
      </c>
      <c r="N447" s="512"/>
    </row>
    <row r="448" spans="1:14" s="341" customFormat="1" ht="30" customHeight="1">
      <c r="A448" s="470"/>
      <c r="B448" s="452"/>
      <c r="C448" s="453">
        <v>4220</v>
      </c>
      <c r="D448" s="511" t="s">
        <v>90</v>
      </c>
      <c r="E448" s="507">
        <f t="shared" si="66"/>
        <v>19800</v>
      </c>
      <c r="F448" s="512">
        <f t="shared" si="67"/>
        <v>19800</v>
      </c>
      <c r="G448" s="512"/>
      <c r="H448" s="512"/>
      <c r="I448" s="512"/>
      <c r="J448" s="512"/>
      <c r="K448" s="512"/>
      <c r="L448" s="512"/>
      <c r="M448" s="512">
        <v>19800</v>
      </c>
      <c r="N448" s="512"/>
    </row>
    <row r="449" spans="1:14" s="341" customFormat="1" ht="51.75" customHeight="1">
      <c r="A449" s="470"/>
      <c r="B449" s="452"/>
      <c r="C449" s="453">
        <v>4230</v>
      </c>
      <c r="D449" s="511" t="s">
        <v>360</v>
      </c>
      <c r="E449" s="507">
        <f t="shared" si="66"/>
        <v>200</v>
      </c>
      <c r="F449" s="512">
        <f t="shared" si="67"/>
        <v>200</v>
      </c>
      <c r="G449" s="512"/>
      <c r="H449" s="512"/>
      <c r="I449" s="512"/>
      <c r="J449" s="512"/>
      <c r="K449" s="512"/>
      <c r="L449" s="512"/>
      <c r="M449" s="512">
        <v>200</v>
      </c>
      <c r="N449" s="512"/>
    </row>
    <row r="450" spans="1:14" s="341" customFormat="1" ht="15">
      <c r="A450" s="470"/>
      <c r="B450" s="452"/>
      <c r="C450" s="453">
        <v>4260</v>
      </c>
      <c r="D450" s="511" t="s">
        <v>659</v>
      </c>
      <c r="E450" s="507">
        <f t="shared" si="66"/>
        <v>13800</v>
      </c>
      <c r="F450" s="512">
        <f t="shared" si="67"/>
        <v>13800</v>
      </c>
      <c r="G450" s="512"/>
      <c r="H450" s="512"/>
      <c r="I450" s="512"/>
      <c r="J450" s="512"/>
      <c r="K450" s="512"/>
      <c r="L450" s="512"/>
      <c r="M450" s="512">
        <v>13800</v>
      </c>
      <c r="N450" s="512"/>
    </row>
    <row r="451" spans="1:14" s="341" customFormat="1" ht="15">
      <c r="A451" s="470"/>
      <c r="B451" s="452"/>
      <c r="C451" s="453">
        <v>4270</v>
      </c>
      <c r="D451" s="511" t="s">
        <v>660</v>
      </c>
      <c r="E451" s="507">
        <f t="shared" si="66"/>
        <v>11400</v>
      </c>
      <c r="F451" s="512">
        <f t="shared" si="67"/>
        <v>11400</v>
      </c>
      <c r="G451" s="512"/>
      <c r="H451" s="512"/>
      <c r="I451" s="512"/>
      <c r="J451" s="512"/>
      <c r="K451" s="512"/>
      <c r="L451" s="512"/>
      <c r="M451" s="512">
        <v>11400</v>
      </c>
      <c r="N451" s="512"/>
    </row>
    <row r="452" spans="1:14" s="341" customFormat="1" ht="32.25" customHeight="1">
      <c r="A452" s="470"/>
      <c r="B452" s="452"/>
      <c r="C452" s="453">
        <v>4280</v>
      </c>
      <c r="D452" s="511" t="s">
        <v>661</v>
      </c>
      <c r="E452" s="507">
        <f t="shared" si="66"/>
        <v>1400</v>
      </c>
      <c r="F452" s="512">
        <f t="shared" si="67"/>
        <v>1400</v>
      </c>
      <c r="G452" s="512"/>
      <c r="H452" s="512"/>
      <c r="I452" s="512"/>
      <c r="J452" s="512"/>
      <c r="K452" s="512"/>
      <c r="L452" s="512"/>
      <c r="M452" s="512">
        <v>1400</v>
      </c>
      <c r="N452" s="512"/>
    </row>
    <row r="453" spans="1:14" s="341" customFormat="1" ht="15">
      <c r="A453" s="470"/>
      <c r="B453" s="452"/>
      <c r="C453" s="453">
        <v>4300</v>
      </c>
      <c r="D453" s="511" t="s">
        <v>641</v>
      </c>
      <c r="E453" s="507">
        <f t="shared" si="66"/>
        <v>54700</v>
      </c>
      <c r="F453" s="512">
        <f t="shared" si="67"/>
        <v>54700</v>
      </c>
      <c r="G453" s="512"/>
      <c r="H453" s="512"/>
      <c r="I453" s="512"/>
      <c r="J453" s="512"/>
      <c r="K453" s="512"/>
      <c r="L453" s="512"/>
      <c r="M453" s="512">
        <v>54700</v>
      </c>
      <c r="N453" s="512"/>
    </row>
    <row r="454" spans="1:14" s="341" customFormat="1" ht="59.25" customHeight="1">
      <c r="A454" s="470"/>
      <c r="B454" s="452"/>
      <c r="C454" s="453">
        <v>4350</v>
      </c>
      <c r="D454" s="511" t="s">
        <v>577</v>
      </c>
      <c r="E454" s="507">
        <f>F454+N454</f>
        <v>1200</v>
      </c>
      <c r="F454" s="512">
        <f>SUM(G454:M454)</f>
        <v>1200</v>
      </c>
      <c r="G454" s="512"/>
      <c r="H454" s="512"/>
      <c r="I454" s="512"/>
      <c r="J454" s="512"/>
      <c r="K454" s="512"/>
      <c r="L454" s="512"/>
      <c r="M454" s="512">
        <v>1200</v>
      </c>
      <c r="N454" s="512"/>
    </row>
    <row r="455" spans="1:14" s="341" customFormat="1" ht="59.25" customHeight="1">
      <c r="A455" s="470"/>
      <c r="B455" s="452"/>
      <c r="C455" s="453">
        <v>4360</v>
      </c>
      <c r="D455" s="511" t="s">
        <v>70</v>
      </c>
      <c r="E455" s="507">
        <f t="shared" si="66"/>
        <v>500</v>
      </c>
      <c r="F455" s="512">
        <f t="shared" si="67"/>
        <v>500</v>
      </c>
      <c r="G455" s="512"/>
      <c r="H455" s="512"/>
      <c r="I455" s="512"/>
      <c r="J455" s="512"/>
      <c r="K455" s="512"/>
      <c r="L455" s="512"/>
      <c r="M455" s="512">
        <v>500</v>
      </c>
      <c r="N455" s="512"/>
    </row>
    <row r="456" spans="1:14" s="341" customFormat="1" ht="72.75" customHeight="1">
      <c r="A456" s="470"/>
      <c r="B456" s="452"/>
      <c r="C456" s="453">
        <v>4370</v>
      </c>
      <c r="D456" s="511" t="s">
        <v>63</v>
      </c>
      <c r="E456" s="507">
        <f t="shared" si="66"/>
        <v>3100</v>
      </c>
      <c r="F456" s="512">
        <f t="shared" si="67"/>
        <v>3100</v>
      </c>
      <c r="G456" s="512"/>
      <c r="H456" s="512"/>
      <c r="I456" s="512"/>
      <c r="J456" s="512"/>
      <c r="K456" s="512"/>
      <c r="L456" s="512"/>
      <c r="M456" s="512">
        <v>3100</v>
      </c>
      <c r="N456" s="512"/>
    </row>
    <row r="457" spans="1:14" s="341" customFormat="1" ht="41.25" customHeight="1">
      <c r="A457" s="470"/>
      <c r="B457" s="452"/>
      <c r="C457" s="453">
        <v>4410</v>
      </c>
      <c r="D457" s="511" t="s">
        <v>667</v>
      </c>
      <c r="E457" s="507">
        <f t="shared" si="66"/>
        <v>630</v>
      </c>
      <c r="F457" s="512">
        <f t="shared" si="67"/>
        <v>630</v>
      </c>
      <c r="G457" s="512"/>
      <c r="H457" s="512"/>
      <c r="I457" s="512"/>
      <c r="J457" s="512"/>
      <c r="K457" s="512"/>
      <c r="L457" s="512"/>
      <c r="M457" s="512">
        <v>630</v>
      </c>
      <c r="N457" s="512"/>
    </row>
    <row r="458" spans="1:14" s="341" customFormat="1" ht="21.75" customHeight="1">
      <c r="A458" s="470"/>
      <c r="B458" s="452"/>
      <c r="C458" s="453">
        <v>4430</v>
      </c>
      <c r="D458" s="511" t="s">
        <v>668</v>
      </c>
      <c r="E458" s="507">
        <f t="shared" si="66"/>
        <v>9200</v>
      </c>
      <c r="F458" s="512">
        <f t="shared" si="67"/>
        <v>9200</v>
      </c>
      <c r="G458" s="512"/>
      <c r="H458" s="512"/>
      <c r="I458" s="512"/>
      <c r="J458" s="512"/>
      <c r="K458" s="512"/>
      <c r="L458" s="512"/>
      <c r="M458" s="512">
        <v>9200</v>
      </c>
      <c r="N458" s="512"/>
    </row>
    <row r="459" spans="1:14" s="341" customFormat="1" ht="45.75" customHeight="1">
      <c r="A459" s="470"/>
      <c r="B459" s="452"/>
      <c r="C459" s="453">
        <v>4440</v>
      </c>
      <c r="D459" s="511" t="s">
        <v>669</v>
      </c>
      <c r="E459" s="507">
        <f t="shared" si="66"/>
        <v>17400</v>
      </c>
      <c r="F459" s="512">
        <f t="shared" si="67"/>
        <v>17400</v>
      </c>
      <c r="G459" s="512"/>
      <c r="H459" s="512"/>
      <c r="I459" s="512"/>
      <c r="J459" s="512"/>
      <c r="K459" s="512"/>
      <c r="L459" s="512"/>
      <c r="M459" s="512">
        <v>17400</v>
      </c>
      <c r="N459" s="512"/>
    </row>
    <row r="460" spans="1:14" s="341" customFormat="1" ht="15">
      <c r="A460" s="470"/>
      <c r="B460" s="452"/>
      <c r="C460" s="453">
        <v>4480</v>
      </c>
      <c r="D460" s="511" t="s">
        <v>670</v>
      </c>
      <c r="E460" s="507">
        <f t="shared" si="66"/>
        <v>1200</v>
      </c>
      <c r="F460" s="512">
        <f t="shared" si="67"/>
        <v>1200</v>
      </c>
      <c r="G460" s="512"/>
      <c r="H460" s="512"/>
      <c r="I460" s="512"/>
      <c r="J460" s="512"/>
      <c r="K460" s="512"/>
      <c r="L460" s="512"/>
      <c r="M460" s="512">
        <v>1200</v>
      </c>
      <c r="N460" s="512"/>
    </row>
    <row r="461" spans="1:14" s="341" customFormat="1" ht="37.5" customHeight="1">
      <c r="A461" s="470"/>
      <c r="B461" s="452"/>
      <c r="C461" s="453">
        <v>4520</v>
      </c>
      <c r="D461" s="511" t="s">
        <v>361</v>
      </c>
      <c r="E461" s="507">
        <f t="shared" si="66"/>
        <v>750</v>
      </c>
      <c r="F461" s="512">
        <f t="shared" si="67"/>
        <v>750</v>
      </c>
      <c r="G461" s="512"/>
      <c r="H461" s="512"/>
      <c r="I461" s="512"/>
      <c r="J461" s="512"/>
      <c r="K461" s="512"/>
      <c r="L461" s="512"/>
      <c r="M461" s="512">
        <v>750</v>
      </c>
      <c r="N461" s="512"/>
    </row>
    <row r="462" spans="1:14" s="341" customFormat="1" ht="48" customHeight="1">
      <c r="A462" s="470"/>
      <c r="B462" s="452"/>
      <c r="C462" s="453">
        <v>4700</v>
      </c>
      <c r="D462" s="511" t="s">
        <v>210</v>
      </c>
      <c r="E462" s="507">
        <f t="shared" si="66"/>
        <v>3200</v>
      </c>
      <c r="F462" s="512">
        <f t="shared" si="67"/>
        <v>3200</v>
      </c>
      <c r="G462" s="512"/>
      <c r="H462" s="512"/>
      <c r="I462" s="512"/>
      <c r="J462" s="512"/>
      <c r="K462" s="512"/>
      <c r="L462" s="512"/>
      <c r="M462" s="512">
        <v>3200</v>
      </c>
      <c r="N462" s="512"/>
    </row>
    <row r="463" spans="1:14" s="341" customFormat="1" ht="60.75" customHeight="1">
      <c r="A463" s="470"/>
      <c r="B463" s="452"/>
      <c r="C463" s="453">
        <v>4740</v>
      </c>
      <c r="D463" s="511" t="s">
        <v>24</v>
      </c>
      <c r="E463" s="507">
        <f aca="true" t="shared" si="70" ref="E463:E526">F463+N463</f>
        <v>1000</v>
      </c>
      <c r="F463" s="512">
        <f t="shared" si="67"/>
        <v>1000</v>
      </c>
      <c r="G463" s="512"/>
      <c r="H463" s="512"/>
      <c r="I463" s="512"/>
      <c r="J463" s="512"/>
      <c r="K463" s="512"/>
      <c r="L463" s="512"/>
      <c r="M463" s="512">
        <v>1000</v>
      </c>
      <c r="N463" s="512"/>
    </row>
    <row r="464" spans="1:14" s="341" customFormat="1" ht="50.25" customHeight="1">
      <c r="A464" s="470"/>
      <c r="B464" s="452"/>
      <c r="C464" s="453">
        <v>4750</v>
      </c>
      <c r="D464" s="511" t="s">
        <v>64</v>
      </c>
      <c r="E464" s="507">
        <f t="shared" si="70"/>
        <v>700</v>
      </c>
      <c r="F464" s="512">
        <f t="shared" si="67"/>
        <v>700</v>
      </c>
      <c r="G464" s="512"/>
      <c r="H464" s="512"/>
      <c r="I464" s="512"/>
      <c r="J464" s="512"/>
      <c r="K464" s="512"/>
      <c r="L464" s="512"/>
      <c r="M464" s="512">
        <v>700</v>
      </c>
      <c r="N464" s="512"/>
    </row>
    <row r="465" spans="1:14" s="343" customFormat="1" ht="15.75">
      <c r="A465" s="432"/>
      <c r="B465" s="442">
        <v>85204</v>
      </c>
      <c r="C465" s="443"/>
      <c r="D465" s="444" t="s">
        <v>97</v>
      </c>
      <c r="E465" s="507">
        <f t="shared" si="70"/>
        <v>2204134</v>
      </c>
      <c r="F465" s="510">
        <f aca="true" t="shared" si="71" ref="F465:F476">SUM(G465:M465)</f>
        <v>2204134</v>
      </c>
      <c r="G465" s="510">
        <f aca="true" t="shared" si="72" ref="G465:N465">SUM(G466:G470)</f>
        <v>0</v>
      </c>
      <c r="H465" s="510">
        <f t="shared" si="72"/>
        <v>0</v>
      </c>
      <c r="I465" s="510">
        <f t="shared" si="72"/>
        <v>34000</v>
      </c>
      <c r="J465" s="510">
        <f t="shared" si="72"/>
        <v>74000</v>
      </c>
      <c r="K465" s="510">
        <f t="shared" si="72"/>
        <v>0</v>
      </c>
      <c r="L465" s="510">
        <f t="shared" si="72"/>
        <v>0</v>
      </c>
      <c r="M465" s="510">
        <f>SUM(M466:M470)</f>
        <v>2096134</v>
      </c>
      <c r="N465" s="510">
        <f t="shared" si="72"/>
        <v>0</v>
      </c>
    </row>
    <row r="466" spans="1:14" s="341" customFormat="1" ht="76.5">
      <c r="A466" s="470"/>
      <c r="B466" s="452"/>
      <c r="C466" s="453">
        <v>2320</v>
      </c>
      <c r="D466" s="511" t="s">
        <v>88</v>
      </c>
      <c r="E466" s="507">
        <f t="shared" si="70"/>
        <v>74000</v>
      </c>
      <c r="F466" s="512">
        <f t="shared" si="71"/>
        <v>74000</v>
      </c>
      <c r="G466" s="512"/>
      <c r="H466" s="512"/>
      <c r="I466" s="512"/>
      <c r="J466" s="512">
        <v>74000</v>
      </c>
      <c r="K466" s="512"/>
      <c r="L466" s="512"/>
      <c r="M466" s="512"/>
      <c r="N466" s="512"/>
    </row>
    <row r="467" spans="1:14" s="341" customFormat="1" ht="15">
      <c r="A467" s="470"/>
      <c r="B467" s="452"/>
      <c r="C467" s="453">
        <v>3110</v>
      </c>
      <c r="D467" s="511" t="s">
        <v>89</v>
      </c>
      <c r="E467" s="507">
        <f t="shared" si="70"/>
        <v>1888134</v>
      </c>
      <c r="F467" s="512">
        <f t="shared" si="71"/>
        <v>1888134</v>
      </c>
      <c r="G467" s="512"/>
      <c r="H467" s="512"/>
      <c r="I467" s="512"/>
      <c r="J467" s="512"/>
      <c r="K467" s="512"/>
      <c r="L467" s="512"/>
      <c r="M467" s="512">
        <f>1946000-57866</f>
        <v>1888134</v>
      </c>
      <c r="N467" s="512"/>
    </row>
    <row r="468" spans="1:14" s="341" customFormat="1" ht="48.75" customHeight="1">
      <c r="A468" s="470"/>
      <c r="B468" s="452"/>
      <c r="C468" s="453">
        <v>4170</v>
      </c>
      <c r="D468" s="511" t="s">
        <v>657</v>
      </c>
      <c r="E468" s="507">
        <f t="shared" si="70"/>
        <v>208000</v>
      </c>
      <c r="F468" s="512">
        <f t="shared" si="71"/>
        <v>208000</v>
      </c>
      <c r="G468" s="512"/>
      <c r="H468" s="512"/>
      <c r="I468" s="512"/>
      <c r="J468" s="512"/>
      <c r="K468" s="512"/>
      <c r="L468" s="512"/>
      <c r="M468" s="512">
        <v>208000</v>
      </c>
      <c r="N468" s="512"/>
    </row>
    <row r="469" spans="1:14" s="341" customFormat="1" ht="32.25" customHeight="1">
      <c r="A469" s="470"/>
      <c r="B469" s="452"/>
      <c r="C469" s="453">
        <v>4110</v>
      </c>
      <c r="D469" s="511" t="s">
        <v>59</v>
      </c>
      <c r="E469" s="507">
        <f t="shared" si="70"/>
        <v>29000</v>
      </c>
      <c r="F469" s="512">
        <f t="shared" si="71"/>
        <v>29000</v>
      </c>
      <c r="G469" s="512"/>
      <c r="H469" s="512"/>
      <c r="I469" s="512">
        <v>29000</v>
      </c>
      <c r="J469" s="512"/>
      <c r="K469" s="512"/>
      <c r="L469" s="512"/>
      <c r="M469" s="512"/>
      <c r="N469" s="512"/>
    </row>
    <row r="470" spans="1:14" s="341" customFormat="1" ht="19.5" customHeight="1">
      <c r="A470" s="470"/>
      <c r="B470" s="452"/>
      <c r="C470" s="453">
        <v>4120</v>
      </c>
      <c r="D470" s="511" t="s">
        <v>656</v>
      </c>
      <c r="E470" s="507">
        <f t="shared" si="70"/>
        <v>5000</v>
      </c>
      <c r="F470" s="512">
        <f t="shared" si="71"/>
        <v>5000</v>
      </c>
      <c r="G470" s="512"/>
      <c r="H470" s="512"/>
      <c r="I470" s="512">
        <v>5000</v>
      </c>
      <c r="J470" s="512"/>
      <c r="K470" s="512"/>
      <c r="L470" s="512"/>
      <c r="M470" s="512"/>
      <c r="N470" s="512"/>
    </row>
    <row r="471" spans="1:14" s="343" customFormat="1" ht="25.5">
      <c r="A471" s="432"/>
      <c r="B471" s="442">
        <v>85218</v>
      </c>
      <c r="C471" s="443"/>
      <c r="D471" s="444" t="s">
        <v>98</v>
      </c>
      <c r="E471" s="507">
        <f t="shared" si="70"/>
        <v>734750</v>
      </c>
      <c r="F471" s="510">
        <f t="shared" si="71"/>
        <v>710750</v>
      </c>
      <c r="G471" s="510">
        <f aca="true" t="shared" si="73" ref="G471:N471">SUM(G472:G495)</f>
        <v>420630</v>
      </c>
      <c r="H471" s="510">
        <f t="shared" si="73"/>
        <v>31100</v>
      </c>
      <c r="I471" s="510">
        <f t="shared" si="73"/>
        <v>80000</v>
      </c>
      <c r="J471" s="510">
        <f t="shared" si="73"/>
        <v>0</v>
      </c>
      <c r="K471" s="510">
        <f t="shared" si="73"/>
        <v>0</v>
      </c>
      <c r="L471" s="510">
        <f t="shared" si="73"/>
        <v>0</v>
      </c>
      <c r="M471" s="510">
        <f t="shared" si="73"/>
        <v>179020</v>
      </c>
      <c r="N471" s="510">
        <f t="shared" si="73"/>
        <v>24000</v>
      </c>
    </row>
    <row r="472" spans="1:14" s="341" customFormat="1" ht="25.5">
      <c r="A472" s="470"/>
      <c r="B472" s="452"/>
      <c r="C472" s="453">
        <v>3020</v>
      </c>
      <c r="D472" s="511" t="s">
        <v>211</v>
      </c>
      <c r="E472" s="507">
        <f t="shared" si="70"/>
        <v>1000</v>
      </c>
      <c r="F472" s="512">
        <f t="shared" si="71"/>
        <v>1000</v>
      </c>
      <c r="G472" s="512"/>
      <c r="H472" s="512"/>
      <c r="I472" s="512"/>
      <c r="J472" s="512"/>
      <c r="K472" s="512"/>
      <c r="L472" s="512"/>
      <c r="M472" s="512">
        <v>1000</v>
      </c>
      <c r="N472" s="512"/>
    </row>
    <row r="473" spans="1:14" s="341" customFormat="1" ht="25.5">
      <c r="A473" s="470"/>
      <c r="B473" s="452"/>
      <c r="C473" s="453">
        <v>4010</v>
      </c>
      <c r="D473" s="511" t="s">
        <v>653</v>
      </c>
      <c r="E473" s="507">
        <f t="shared" si="70"/>
        <v>420630</v>
      </c>
      <c r="F473" s="512">
        <f t="shared" si="71"/>
        <v>420630</v>
      </c>
      <c r="G473" s="512">
        <v>420630</v>
      </c>
      <c r="H473" s="512"/>
      <c r="I473" s="512"/>
      <c r="J473" s="512"/>
      <c r="K473" s="512"/>
      <c r="L473" s="512"/>
      <c r="M473" s="512"/>
      <c r="N473" s="512"/>
    </row>
    <row r="474" spans="1:14" s="341" customFormat="1" ht="25.5">
      <c r="A474" s="470"/>
      <c r="B474" s="452"/>
      <c r="C474" s="453">
        <v>4040</v>
      </c>
      <c r="D474" s="511" t="s">
        <v>654</v>
      </c>
      <c r="E474" s="507">
        <f t="shared" si="70"/>
        <v>31100</v>
      </c>
      <c r="F474" s="512">
        <f t="shared" si="71"/>
        <v>31100</v>
      </c>
      <c r="G474" s="512"/>
      <c r="H474" s="512">
        <v>31100</v>
      </c>
      <c r="I474" s="512"/>
      <c r="J474" s="512"/>
      <c r="K474" s="512"/>
      <c r="L474" s="512"/>
      <c r="M474" s="512"/>
      <c r="N474" s="512"/>
    </row>
    <row r="475" spans="1:14" s="341" customFormat="1" ht="25.5">
      <c r="A475" s="470"/>
      <c r="B475" s="452"/>
      <c r="C475" s="453">
        <v>4110</v>
      </c>
      <c r="D475" s="511" t="s">
        <v>655</v>
      </c>
      <c r="E475" s="507">
        <f t="shared" si="70"/>
        <v>69000</v>
      </c>
      <c r="F475" s="512">
        <f t="shared" si="71"/>
        <v>69000</v>
      </c>
      <c r="G475" s="512"/>
      <c r="H475" s="512"/>
      <c r="I475" s="512">
        <v>69000</v>
      </c>
      <c r="J475" s="512"/>
      <c r="K475" s="512"/>
      <c r="L475" s="512"/>
      <c r="M475" s="512"/>
      <c r="N475" s="512"/>
    </row>
    <row r="476" spans="1:14" s="341" customFormat="1" ht="15">
      <c r="A476" s="470"/>
      <c r="B476" s="452"/>
      <c r="C476" s="453">
        <v>4120</v>
      </c>
      <c r="D476" s="511" t="s">
        <v>656</v>
      </c>
      <c r="E476" s="507">
        <f t="shared" si="70"/>
        <v>11000</v>
      </c>
      <c r="F476" s="512">
        <f t="shared" si="71"/>
        <v>11000</v>
      </c>
      <c r="G476" s="512"/>
      <c r="H476" s="512"/>
      <c r="I476" s="512">
        <v>11000</v>
      </c>
      <c r="J476" s="512"/>
      <c r="K476" s="512"/>
      <c r="L476" s="512"/>
      <c r="M476" s="512"/>
      <c r="N476" s="512"/>
    </row>
    <row r="477" spans="1:14" s="341" customFormat="1" ht="25.5">
      <c r="A477" s="470"/>
      <c r="B477" s="452"/>
      <c r="C477" s="453">
        <v>4170</v>
      </c>
      <c r="D477" s="511" t="s">
        <v>94</v>
      </c>
      <c r="E477" s="507">
        <f t="shared" si="70"/>
        <v>7800</v>
      </c>
      <c r="F477" s="512">
        <f aca="true" t="shared" si="74" ref="F477:F551">SUM(G477:M477)</f>
        <v>7800</v>
      </c>
      <c r="G477" s="512"/>
      <c r="H477" s="512"/>
      <c r="I477" s="512"/>
      <c r="J477" s="512"/>
      <c r="K477" s="512"/>
      <c r="L477" s="512"/>
      <c r="M477" s="512">
        <v>7800</v>
      </c>
      <c r="N477" s="512"/>
    </row>
    <row r="478" spans="1:14" s="341" customFormat="1" ht="25.5">
      <c r="A478" s="470"/>
      <c r="B478" s="452"/>
      <c r="C478" s="453">
        <v>4210</v>
      </c>
      <c r="D478" s="511" t="s">
        <v>658</v>
      </c>
      <c r="E478" s="507">
        <f t="shared" si="70"/>
        <v>6900</v>
      </c>
      <c r="F478" s="512">
        <f t="shared" si="74"/>
        <v>6900</v>
      </c>
      <c r="G478" s="512"/>
      <c r="H478" s="512"/>
      <c r="I478" s="512"/>
      <c r="J478" s="512"/>
      <c r="K478" s="512"/>
      <c r="L478" s="512"/>
      <c r="M478" s="512">
        <v>6900</v>
      </c>
      <c r="N478" s="512"/>
    </row>
    <row r="479" spans="1:14" s="341" customFormat="1" ht="38.25">
      <c r="A479" s="470"/>
      <c r="B479" s="452"/>
      <c r="C479" s="453">
        <v>4230</v>
      </c>
      <c r="D479" s="511" t="s">
        <v>360</v>
      </c>
      <c r="E479" s="507">
        <f t="shared" si="70"/>
        <v>100</v>
      </c>
      <c r="F479" s="512">
        <f t="shared" si="74"/>
        <v>100</v>
      </c>
      <c r="G479" s="512"/>
      <c r="H479" s="512"/>
      <c r="I479" s="512"/>
      <c r="J479" s="512"/>
      <c r="K479" s="512"/>
      <c r="L479" s="512"/>
      <c r="M479" s="512">
        <v>100</v>
      </c>
      <c r="N479" s="512"/>
    </row>
    <row r="480" spans="1:14" s="341" customFormat="1" ht="15">
      <c r="A480" s="470"/>
      <c r="B480" s="452"/>
      <c r="C480" s="453">
        <v>4260</v>
      </c>
      <c r="D480" s="511" t="s">
        <v>659</v>
      </c>
      <c r="E480" s="507">
        <f t="shared" si="70"/>
        <v>13030</v>
      </c>
      <c r="F480" s="512">
        <f t="shared" si="74"/>
        <v>13030</v>
      </c>
      <c r="G480" s="512"/>
      <c r="H480" s="512"/>
      <c r="I480" s="512"/>
      <c r="J480" s="512"/>
      <c r="K480" s="512"/>
      <c r="L480" s="512"/>
      <c r="M480" s="512">
        <v>13030</v>
      </c>
      <c r="N480" s="512"/>
    </row>
    <row r="481" spans="1:14" s="341" customFormat="1" ht="15">
      <c r="A481" s="470"/>
      <c r="B481" s="452"/>
      <c r="C481" s="453">
        <v>4270</v>
      </c>
      <c r="D481" s="511" t="s">
        <v>660</v>
      </c>
      <c r="E481" s="507">
        <f t="shared" si="70"/>
        <v>1400</v>
      </c>
      <c r="F481" s="512">
        <f t="shared" si="74"/>
        <v>1400</v>
      </c>
      <c r="G481" s="512"/>
      <c r="H481" s="512"/>
      <c r="I481" s="512"/>
      <c r="J481" s="512"/>
      <c r="K481" s="512"/>
      <c r="L481" s="512"/>
      <c r="M481" s="512">
        <v>1400</v>
      </c>
      <c r="N481" s="512"/>
    </row>
    <row r="482" spans="1:14" s="341" customFormat="1" ht="15">
      <c r="A482" s="470"/>
      <c r="B482" s="452"/>
      <c r="C482" s="453">
        <v>4280</v>
      </c>
      <c r="D482" s="511" t="s">
        <v>661</v>
      </c>
      <c r="E482" s="507">
        <f t="shared" si="70"/>
        <v>1000</v>
      </c>
      <c r="F482" s="512">
        <f t="shared" si="74"/>
        <v>1000</v>
      </c>
      <c r="G482" s="512"/>
      <c r="H482" s="512"/>
      <c r="I482" s="512"/>
      <c r="J482" s="512"/>
      <c r="K482" s="512"/>
      <c r="L482" s="512"/>
      <c r="M482" s="512">
        <v>1000</v>
      </c>
      <c r="N482" s="512"/>
    </row>
    <row r="483" spans="1:14" s="341" customFormat="1" ht="15">
      <c r="A483" s="470"/>
      <c r="B483" s="452"/>
      <c r="C483" s="453">
        <v>4300</v>
      </c>
      <c r="D483" s="511" t="s">
        <v>641</v>
      </c>
      <c r="E483" s="507">
        <f t="shared" si="70"/>
        <v>24300</v>
      </c>
      <c r="F483" s="512">
        <f t="shared" si="74"/>
        <v>24300</v>
      </c>
      <c r="G483" s="512"/>
      <c r="H483" s="512"/>
      <c r="I483" s="512"/>
      <c r="J483" s="512"/>
      <c r="K483" s="512"/>
      <c r="L483" s="512"/>
      <c r="M483" s="512">
        <v>24300</v>
      </c>
      <c r="N483" s="512"/>
    </row>
    <row r="484" spans="1:14" s="341" customFormat="1" ht="37.5" customHeight="1">
      <c r="A484" s="470"/>
      <c r="B484" s="452"/>
      <c r="C484" s="453">
        <v>4350</v>
      </c>
      <c r="D484" s="511" t="s">
        <v>662</v>
      </c>
      <c r="E484" s="507">
        <f t="shared" si="70"/>
        <v>2400</v>
      </c>
      <c r="F484" s="512">
        <f t="shared" si="74"/>
        <v>2400</v>
      </c>
      <c r="G484" s="512"/>
      <c r="H484" s="512"/>
      <c r="I484" s="512"/>
      <c r="J484" s="512"/>
      <c r="K484" s="512"/>
      <c r="L484" s="512"/>
      <c r="M484" s="512">
        <v>2400</v>
      </c>
      <c r="N484" s="512"/>
    </row>
    <row r="485" spans="1:14" s="341" customFormat="1" ht="38.25">
      <c r="A485" s="470"/>
      <c r="B485" s="452"/>
      <c r="C485" s="453">
        <v>4360</v>
      </c>
      <c r="D485" s="511" t="s">
        <v>70</v>
      </c>
      <c r="E485" s="507">
        <f t="shared" si="70"/>
        <v>1500</v>
      </c>
      <c r="F485" s="512">
        <f t="shared" si="74"/>
        <v>1500</v>
      </c>
      <c r="G485" s="512"/>
      <c r="H485" s="512"/>
      <c r="I485" s="512"/>
      <c r="J485" s="512"/>
      <c r="K485" s="512"/>
      <c r="L485" s="512"/>
      <c r="M485" s="512">
        <v>1500</v>
      </c>
      <c r="N485" s="512"/>
    </row>
    <row r="486" spans="1:14" s="341" customFormat="1" ht="38.25">
      <c r="A486" s="470"/>
      <c r="B486" s="452"/>
      <c r="C486" s="453">
        <v>4370</v>
      </c>
      <c r="D486" s="511" t="s">
        <v>63</v>
      </c>
      <c r="E486" s="507">
        <f t="shared" si="70"/>
        <v>7700</v>
      </c>
      <c r="F486" s="512">
        <f t="shared" si="74"/>
        <v>7700</v>
      </c>
      <c r="G486" s="512"/>
      <c r="H486" s="512"/>
      <c r="I486" s="512"/>
      <c r="J486" s="512"/>
      <c r="K486" s="512"/>
      <c r="L486" s="512"/>
      <c r="M486" s="512">
        <v>7700</v>
      </c>
      <c r="N486" s="512"/>
    </row>
    <row r="487" spans="1:14" s="341" customFormat="1" ht="51">
      <c r="A487" s="470"/>
      <c r="B487" s="452"/>
      <c r="C487" s="453">
        <v>4400</v>
      </c>
      <c r="D487" s="511" t="s">
        <v>362</v>
      </c>
      <c r="E487" s="507">
        <f t="shared" si="70"/>
        <v>84760</v>
      </c>
      <c r="F487" s="512">
        <f t="shared" si="74"/>
        <v>84760</v>
      </c>
      <c r="G487" s="512"/>
      <c r="H487" s="512"/>
      <c r="I487" s="512"/>
      <c r="J487" s="512"/>
      <c r="K487" s="512"/>
      <c r="L487" s="512"/>
      <c r="M487" s="512">
        <v>84760</v>
      </c>
      <c r="N487" s="512"/>
    </row>
    <row r="488" spans="1:14" s="341" customFormat="1" ht="15">
      <c r="A488" s="470"/>
      <c r="B488" s="452"/>
      <c r="C488" s="453">
        <v>4410</v>
      </c>
      <c r="D488" s="511" t="s">
        <v>667</v>
      </c>
      <c r="E488" s="507">
        <f t="shared" si="70"/>
        <v>4100</v>
      </c>
      <c r="F488" s="512">
        <f t="shared" si="74"/>
        <v>4100</v>
      </c>
      <c r="G488" s="512"/>
      <c r="H488" s="512"/>
      <c r="I488" s="512"/>
      <c r="J488" s="512"/>
      <c r="K488" s="512"/>
      <c r="L488" s="512"/>
      <c r="M488" s="512">
        <v>4100</v>
      </c>
      <c r="N488" s="512"/>
    </row>
    <row r="489" spans="1:14" s="341" customFormat="1" ht="27" customHeight="1">
      <c r="A489" s="470"/>
      <c r="B489" s="452"/>
      <c r="C489" s="453">
        <v>4430</v>
      </c>
      <c r="D489" s="511" t="s">
        <v>668</v>
      </c>
      <c r="E489" s="507">
        <f t="shared" si="70"/>
        <v>300</v>
      </c>
      <c r="F489" s="512">
        <f t="shared" si="74"/>
        <v>300</v>
      </c>
      <c r="G489" s="512"/>
      <c r="H489" s="512"/>
      <c r="I489" s="512"/>
      <c r="J489" s="512"/>
      <c r="K489" s="512"/>
      <c r="L489" s="512"/>
      <c r="M489" s="512">
        <v>300</v>
      </c>
      <c r="N489" s="512"/>
    </row>
    <row r="490" spans="1:14" s="341" customFormat="1" ht="38.25">
      <c r="A490" s="470"/>
      <c r="B490" s="452"/>
      <c r="C490" s="453">
        <v>4440</v>
      </c>
      <c r="D490" s="511" t="s">
        <v>669</v>
      </c>
      <c r="E490" s="507">
        <f t="shared" si="70"/>
        <v>11730</v>
      </c>
      <c r="F490" s="512">
        <f t="shared" si="74"/>
        <v>11730</v>
      </c>
      <c r="G490" s="512"/>
      <c r="H490" s="512"/>
      <c r="I490" s="512"/>
      <c r="J490" s="512"/>
      <c r="K490" s="512"/>
      <c r="L490" s="512"/>
      <c r="M490" s="512">
        <v>11730</v>
      </c>
      <c r="N490" s="512"/>
    </row>
    <row r="491" spans="1:14" s="341" customFormat="1" ht="25.5">
      <c r="A491" s="470"/>
      <c r="B491" s="452"/>
      <c r="C491" s="453">
        <v>4510</v>
      </c>
      <c r="D491" s="511" t="s">
        <v>246</v>
      </c>
      <c r="E491" s="507">
        <f t="shared" si="70"/>
        <v>100</v>
      </c>
      <c r="F491" s="512">
        <f>SUM(G491:M491)</f>
        <v>100</v>
      </c>
      <c r="G491" s="512"/>
      <c r="H491" s="512"/>
      <c r="I491" s="512"/>
      <c r="J491" s="512"/>
      <c r="K491" s="512"/>
      <c r="L491" s="512"/>
      <c r="M491" s="512">
        <v>100</v>
      </c>
      <c r="N491" s="512"/>
    </row>
    <row r="492" spans="1:14" s="341" customFormat="1" ht="38.25">
      <c r="A492" s="470"/>
      <c r="B492" s="452"/>
      <c r="C492" s="453">
        <v>4700</v>
      </c>
      <c r="D492" s="511" t="s">
        <v>210</v>
      </c>
      <c r="E492" s="507">
        <f t="shared" si="70"/>
        <v>2600</v>
      </c>
      <c r="F492" s="512">
        <f t="shared" si="74"/>
        <v>2600</v>
      </c>
      <c r="G492" s="512"/>
      <c r="H492" s="512"/>
      <c r="I492" s="512"/>
      <c r="J492" s="512"/>
      <c r="K492" s="512"/>
      <c r="L492" s="512"/>
      <c r="M492" s="512">
        <v>2600</v>
      </c>
      <c r="N492" s="512"/>
    </row>
    <row r="493" spans="1:14" s="341" customFormat="1" ht="51">
      <c r="A493" s="470"/>
      <c r="B493" s="452"/>
      <c r="C493" s="453">
        <v>4740</v>
      </c>
      <c r="D493" s="511" t="s">
        <v>24</v>
      </c>
      <c r="E493" s="507">
        <f t="shared" si="70"/>
        <v>1000</v>
      </c>
      <c r="F493" s="512">
        <f t="shared" si="74"/>
        <v>1000</v>
      </c>
      <c r="G493" s="512"/>
      <c r="H493" s="512"/>
      <c r="I493" s="512"/>
      <c r="J493" s="512"/>
      <c r="K493" s="512"/>
      <c r="L493" s="512"/>
      <c r="M493" s="512">
        <v>1000</v>
      </c>
      <c r="N493" s="512"/>
    </row>
    <row r="494" spans="1:14" s="341" customFormat="1" ht="38.25">
      <c r="A494" s="470"/>
      <c r="B494" s="452"/>
      <c r="C494" s="453">
        <v>4750</v>
      </c>
      <c r="D494" s="511" t="s">
        <v>64</v>
      </c>
      <c r="E494" s="507">
        <f t="shared" si="70"/>
        <v>7300</v>
      </c>
      <c r="F494" s="512">
        <f t="shared" si="74"/>
        <v>7300</v>
      </c>
      <c r="G494" s="512"/>
      <c r="H494" s="512"/>
      <c r="I494" s="512"/>
      <c r="J494" s="512"/>
      <c r="K494" s="512"/>
      <c r="L494" s="512"/>
      <c r="M494" s="512">
        <v>7300</v>
      </c>
      <c r="N494" s="512"/>
    </row>
    <row r="495" spans="1:14" s="341" customFormat="1" ht="25.5">
      <c r="A495" s="435"/>
      <c r="B495" s="435"/>
      <c r="C495" s="453">
        <v>6050</v>
      </c>
      <c r="D495" s="517" t="s">
        <v>377</v>
      </c>
      <c r="E495" s="507">
        <f t="shared" si="70"/>
        <v>24000</v>
      </c>
      <c r="F495" s="512">
        <f t="shared" si="74"/>
        <v>0</v>
      </c>
      <c r="G495" s="512"/>
      <c r="H495" s="512"/>
      <c r="I495" s="512"/>
      <c r="J495" s="512"/>
      <c r="K495" s="512"/>
      <c r="L495" s="512"/>
      <c r="M495" s="512"/>
      <c r="N495" s="512">
        <v>24000</v>
      </c>
    </row>
    <row r="496" spans="1:14" s="343" customFormat="1" ht="63.75">
      <c r="A496" s="432"/>
      <c r="B496" s="442">
        <v>85220</v>
      </c>
      <c r="C496" s="443"/>
      <c r="D496" s="444" t="s">
        <v>99</v>
      </c>
      <c r="E496" s="507">
        <f t="shared" si="70"/>
        <v>3160</v>
      </c>
      <c r="F496" s="510">
        <f t="shared" si="74"/>
        <v>3160</v>
      </c>
      <c r="G496" s="510">
        <f aca="true" t="shared" si="75" ref="G496:L496">SUM(G497:G506)</f>
        <v>0</v>
      </c>
      <c r="H496" s="510">
        <f t="shared" si="75"/>
        <v>0</v>
      </c>
      <c r="I496" s="510">
        <f t="shared" si="75"/>
        <v>0</v>
      </c>
      <c r="J496" s="510">
        <f t="shared" si="75"/>
        <v>0</v>
      </c>
      <c r="K496" s="510">
        <f t="shared" si="75"/>
        <v>0</v>
      </c>
      <c r="L496" s="510">
        <f t="shared" si="75"/>
        <v>0</v>
      </c>
      <c r="M496" s="510">
        <f>SUM(M497:M507)</f>
        <v>3160</v>
      </c>
      <c r="N496" s="510">
        <f>SUM(N497:N506)</f>
        <v>0</v>
      </c>
    </row>
    <row r="497" spans="1:14" s="341" customFormat="1" ht="25.5" hidden="1">
      <c r="A497" s="470"/>
      <c r="B497" s="452"/>
      <c r="C497" s="453">
        <v>4010</v>
      </c>
      <c r="D497" s="511" t="s">
        <v>653</v>
      </c>
      <c r="E497" s="507">
        <f t="shared" si="70"/>
        <v>0</v>
      </c>
      <c r="F497" s="512">
        <f t="shared" si="74"/>
        <v>0</v>
      </c>
      <c r="G497" s="512"/>
      <c r="H497" s="512"/>
      <c r="I497" s="512"/>
      <c r="J497" s="512"/>
      <c r="K497" s="512"/>
      <c r="L497" s="512"/>
      <c r="M497" s="512"/>
      <c r="N497" s="512"/>
    </row>
    <row r="498" spans="1:14" s="341" customFormat="1" ht="25.5" hidden="1">
      <c r="A498" s="470"/>
      <c r="B498" s="452"/>
      <c r="C498" s="453">
        <v>4040</v>
      </c>
      <c r="D498" s="511" t="s">
        <v>654</v>
      </c>
      <c r="E498" s="507">
        <f t="shared" si="70"/>
        <v>0</v>
      </c>
      <c r="F498" s="512">
        <f t="shared" si="74"/>
        <v>0</v>
      </c>
      <c r="G498" s="512"/>
      <c r="H498" s="512"/>
      <c r="I498" s="512"/>
      <c r="J498" s="512"/>
      <c r="K498" s="512"/>
      <c r="L498" s="512"/>
      <c r="M498" s="512"/>
      <c r="N498" s="512"/>
    </row>
    <row r="499" spans="1:14" s="341" customFormat="1" ht="25.5" hidden="1">
      <c r="A499" s="470"/>
      <c r="B499" s="452"/>
      <c r="C499" s="453">
        <v>4110</v>
      </c>
      <c r="D499" s="511" t="s">
        <v>655</v>
      </c>
      <c r="E499" s="507">
        <f t="shared" si="70"/>
        <v>0</v>
      </c>
      <c r="F499" s="512">
        <f t="shared" si="74"/>
        <v>0</v>
      </c>
      <c r="G499" s="512"/>
      <c r="H499" s="512"/>
      <c r="I499" s="512"/>
      <c r="J499" s="512"/>
      <c r="K499" s="512"/>
      <c r="L499" s="512"/>
      <c r="M499" s="512"/>
      <c r="N499" s="512"/>
    </row>
    <row r="500" spans="1:14" s="341" customFormat="1" ht="15" hidden="1">
      <c r="A500" s="470"/>
      <c r="B500" s="452"/>
      <c r="C500" s="453">
        <v>4120</v>
      </c>
      <c r="D500" s="511" t="s">
        <v>656</v>
      </c>
      <c r="E500" s="507">
        <f t="shared" si="70"/>
        <v>0</v>
      </c>
      <c r="F500" s="512">
        <f t="shared" si="74"/>
        <v>0</v>
      </c>
      <c r="G500" s="512"/>
      <c r="H500" s="512"/>
      <c r="I500" s="512"/>
      <c r="J500" s="512"/>
      <c r="K500" s="512"/>
      <c r="L500" s="512"/>
      <c r="M500" s="512"/>
      <c r="N500" s="512"/>
    </row>
    <row r="501" spans="1:14" s="341" customFormat="1" ht="25.5">
      <c r="A501" s="470"/>
      <c r="B501" s="452"/>
      <c r="C501" s="453">
        <v>4170</v>
      </c>
      <c r="D501" s="511" t="s">
        <v>44</v>
      </c>
      <c r="E501" s="507">
        <f t="shared" si="70"/>
        <v>2160</v>
      </c>
      <c r="F501" s="512">
        <f t="shared" si="74"/>
        <v>2160</v>
      </c>
      <c r="G501" s="512"/>
      <c r="H501" s="512"/>
      <c r="I501" s="512"/>
      <c r="J501" s="512"/>
      <c r="K501" s="512"/>
      <c r="L501" s="512"/>
      <c r="M501" s="512">
        <v>2160</v>
      </c>
      <c r="N501" s="512"/>
    </row>
    <row r="502" spans="1:14" s="341" customFormat="1" ht="25.5">
      <c r="A502" s="470"/>
      <c r="B502" s="452"/>
      <c r="C502" s="453">
        <v>4210</v>
      </c>
      <c r="D502" s="511" t="s">
        <v>658</v>
      </c>
      <c r="E502" s="507">
        <f t="shared" si="70"/>
        <v>300</v>
      </c>
      <c r="F502" s="512">
        <f>SUM(G502:M502)</f>
        <v>300</v>
      </c>
      <c r="G502" s="512"/>
      <c r="H502" s="512"/>
      <c r="I502" s="512"/>
      <c r="J502" s="512"/>
      <c r="K502" s="512"/>
      <c r="L502" s="512"/>
      <c r="M502" s="512">
        <v>300</v>
      </c>
      <c r="N502" s="512"/>
    </row>
    <row r="503" spans="1:14" s="341" customFormat="1" ht="15">
      <c r="A503" s="470"/>
      <c r="B503" s="452"/>
      <c r="C503" s="453">
        <v>4300</v>
      </c>
      <c r="D503" s="511" t="s">
        <v>23</v>
      </c>
      <c r="E503" s="507">
        <f t="shared" si="70"/>
        <v>0</v>
      </c>
      <c r="F503" s="512">
        <f t="shared" si="74"/>
        <v>0</v>
      </c>
      <c r="G503" s="512"/>
      <c r="H503" s="512"/>
      <c r="I503" s="512"/>
      <c r="J503" s="512"/>
      <c r="K503" s="512"/>
      <c r="L503" s="512"/>
      <c r="M503" s="512"/>
      <c r="N503" s="512"/>
    </row>
    <row r="504" spans="1:14" s="341" customFormat="1" ht="38.25">
      <c r="A504" s="470"/>
      <c r="B504" s="452"/>
      <c r="C504" s="453">
        <v>4360</v>
      </c>
      <c r="D504" s="511" t="s">
        <v>70</v>
      </c>
      <c r="E504" s="507">
        <f t="shared" si="70"/>
        <v>700</v>
      </c>
      <c r="F504" s="512">
        <f t="shared" si="74"/>
        <v>700</v>
      </c>
      <c r="G504" s="512"/>
      <c r="H504" s="512"/>
      <c r="I504" s="512"/>
      <c r="J504" s="512"/>
      <c r="K504" s="512"/>
      <c r="L504" s="512"/>
      <c r="M504" s="512">
        <v>700</v>
      </c>
      <c r="N504" s="512"/>
    </row>
    <row r="505" spans="1:14" s="341" customFormat="1" ht="15" hidden="1">
      <c r="A505" s="470"/>
      <c r="B505" s="452"/>
      <c r="C505" s="453">
        <v>4410</v>
      </c>
      <c r="D505" s="511" t="s">
        <v>667</v>
      </c>
      <c r="E505" s="507">
        <f t="shared" si="70"/>
        <v>0</v>
      </c>
      <c r="F505" s="512">
        <f t="shared" si="74"/>
        <v>0</v>
      </c>
      <c r="G505" s="512"/>
      <c r="H505" s="512"/>
      <c r="I505" s="512"/>
      <c r="J505" s="512"/>
      <c r="K505" s="512"/>
      <c r="L505" s="512"/>
      <c r="M505" s="512"/>
      <c r="N505" s="512"/>
    </row>
    <row r="506" spans="1:14" s="341" customFormat="1" ht="40.5" customHeight="1" hidden="1">
      <c r="A506" s="470"/>
      <c r="B506" s="452"/>
      <c r="C506" s="453">
        <v>4440</v>
      </c>
      <c r="D506" s="511" t="s">
        <v>669</v>
      </c>
      <c r="E506" s="507">
        <f t="shared" si="70"/>
        <v>0</v>
      </c>
      <c r="F506" s="512">
        <f t="shared" si="74"/>
        <v>0</v>
      </c>
      <c r="G506" s="512"/>
      <c r="H506" s="512"/>
      <c r="I506" s="512"/>
      <c r="J506" s="512"/>
      <c r="K506" s="512"/>
      <c r="L506" s="512"/>
      <c r="M506" s="512"/>
      <c r="N506" s="512"/>
    </row>
    <row r="507" spans="1:14" s="341" customFormat="1" ht="38.25" hidden="1">
      <c r="A507" s="470"/>
      <c r="B507" s="452"/>
      <c r="C507" s="453">
        <v>4700</v>
      </c>
      <c r="D507" s="511" t="s">
        <v>210</v>
      </c>
      <c r="E507" s="507">
        <f t="shared" si="70"/>
        <v>0</v>
      </c>
      <c r="F507" s="512">
        <f t="shared" si="74"/>
        <v>0</v>
      </c>
      <c r="G507" s="512"/>
      <c r="H507" s="512"/>
      <c r="I507" s="512"/>
      <c r="J507" s="512"/>
      <c r="K507" s="512"/>
      <c r="L507" s="512"/>
      <c r="M507" s="512"/>
      <c r="N507" s="512"/>
    </row>
    <row r="508" spans="1:14" s="343" customFormat="1" ht="38.25">
      <c r="A508" s="432"/>
      <c r="B508" s="442">
        <v>85233</v>
      </c>
      <c r="C508" s="443"/>
      <c r="D508" s="444" t="s">
        <v>100</v>
      </c>
      <c r="E508" s="507">
        <f t="shared" si="70"/>
        <v>4520</v>
      </c>
      <c r="F508" s="510">
        <f t="shared" si="74"/>
        <v>4520</v>
      </c>
      <c r="G508" s="510">
        <f aca="true" t="shared" si="76" ref="G508:N508">SUM(G509:G510)</f>
        <v>0</v>
      </c>
      <c r="H508" s="510">
        <f t="shared" si="76"/>
        <v>0</v>
      </c>
      <c r="I508" s="510">
        <f t="shared" si="76"/>
        <v>0</v>
      </c>
      <c r="J508" s="510">
        <f t="shared" si="76"/>
        <v>0</v>
      </c>
      <c r="K508" s="510">
        <f t="shared" si="76"/>
        <v>0</v>
      </c>
      <c r="L508" s="510">
        <f t="shared" si="76"/>
        <v>0</v>
      </c>
      <c r="M508" s="510">
        <f t="shared" si="76"/>
        <v>4520</v>
      </c>
      <c r="N508" s="510">
        <f t="shared" si="76"/>
        <v>0</v>
      </c>
    </row>
    <row r="509" spans="1:14" s="341" customFormat="1" ht="15">
      <c r="A509" s="470"/>
      <c r="B509" s="452"/>
      <c r="C509" s="453">
        <v>4300</v>
      </c>
      <c r="D509" s="511" t="s">
        <v>23</v>
      </c>
      <c r="E509" s="507">
        <f t="shared" si="70"/>
        <v>3970</v>
      </c>
      <c r="F509" s="512">
        <f t="shared" si="74"/>
        <v>3970</v>
      </c>
      <c r="G509" s="512"/>
      <c r="H509" s="512"/>
      <c r="I509" s="512"/>
      <c r="J509" s="512"/>
      <c r="K509" s="512"/>
      <c r="L509" s="512"/>
      <c r="M509" s="512">
        <v>3970</v>
      </c>
      <c r="N509" s="512"/>
    </row>
    <row r="510" spans="1:14" s="341" customFormat="1" ht="15">
      <c r="A510" s="470"/>
      <c r="B510" s="452"/>
      <c r="C510" s="453">
        <v>4410</v>
      </c>
      <c r="D510" s="511" t="s">
        <v>667</v>
      </c>
      <c r="E510" s="507">
        <f t="shared" si="70"/>
        <v>550</v>
      </c>
      <c r="F510" s="512">
        <f t="shared" si="74"/>
        <v>550</v>
      </c>
      <c r="G510" s="512"/>
      <c r="H510" s="512"/>
      <c r="I510" s="512"/>
      <c r="J510" s="512"/>
      <c r="K510" s="512"/>
      <c r="L510" s="512"/>
      <c r="M510" s="512">
        <v>550</v>
      </c>
      <c r="N510" s="512"/>
    </row>
    <row r="511" spans="1:14" s="343" customFormat="1" ht="15.75">
      <c r="A511" s="432"/>
      <c r="B511" s="442">
        <v>85295</v>
      </c>
      <c r="C511" s="443"/>
      <c r="D511" s="444" t="s">
        <v>101</v>
      </c>
      <c r="E511" s="507">
        <f t="shared" si="70"/>
        <v>2340</v>
      </c>
      <c r="F511" s="510">
        <f t="shared" si="74"/>
        <v>2340</v>
      </c>
      <c r="G511" s="510">
        <f aca="true" t="shared" si="77" ref="G511:N511">SUM(G512:G515)</f>
        <v>1130</v>
      </c>
      <c r="H511" s="510">
        <f t="shared" si="77"/>
        <v>0</v>
      </c>
      <c r="I511" s="510">
        <f t="shared" si="77"/>
        <v>210</v>
      </c>
      <c r="J511" s="510">
        <f t="shared" si="77"/>
        <v>0</v>
      </c>
      <c r="K511" s="510">
        <f t="shared" si="77"/>
        <v>0</v>
      </c>
      <c r="L511" s="510">
        <f t="shared" si="77"/>
        <v>0</v>
      </c>
      <c r="M511" s="510">
        <f t="shared" si="77"/>
        <v>1000</v>
      </c>
      <c r="N511" s="510">
        <f t="shared" si="77"/>
        <v>0</v>
      </c>
    </row>
    <row r="512" spans="1:14" s="341" customFormat="1" ht="38.25">
      <c r="A512" s="470"/>
      <c r="B512" s="452"/>
      <c r="C512" s="453">
        <v>4440</v>
      </c>
      <c r="D512" s="511" t="s">
        <v>669</v>
      </c>
      <c r="E512" s="507">
        <f t="shared" si="70"/>
        <v>1000</v>
      </c>
      <c r="F512" s="512">
        <f t="shared" si="74"/>
        <v>1000</v>
      </c>
      <c r="G512" s="512"/>
      <c r="H512" s="512"/>
      <c r="I512" s="512"/>
      <c r="J512" s="512"/>
      <c r="K512" s="512"/>
      <c r="L512" s="512"/>
      <c r="M512" s="512">
        <v>1000</v>
      </c>
      <c r="N512" s="512"/>
    </row>
    <row r="513" spans="1:14" s="341" customFormat="1" ht="36.75" customHeight="1">
      <c r="A513" s="470"/>
      <c r="B513" s="452"/>
      <c r="C513" s="453">
        <v>4010</v>
      </c>
      <c r="D513" s="511" t="s">
        <v>196</v>
      </c>
      <c r="E513" s="507">
        <f t="shared" si="70"/>
        <v>1130</v>
      </c>
      <c r="F513" s="512">
        <f>SUM(G513:M513)</f>
        <v>1130</v>
      </c>
      <c r="G513" s="512">
        <v>1130</v>
      </c>
      <c r="H513" s="512"/>
      <c r="I513" s="512"/>
      <c r="J513" s="512"/>
      <c r="K513" s="512"/>
      <c r="L513" s="512"/>
      <c r="M513" s="512"/>
      <c r="N513" s="512"/>
    </row>
    <row r="514" spans="1:14" s="341" customFormat="1" ht="25.5">
      <c r="A514" s="470"/>
      <c r="B514" s="452"/>
      <c r="C514" s="453">
        <v>4110</v>
      </c>
      <c r="D514" s="511" t="s">
        <v>59</v>
      </c>
      <c r="E514" s="507">
        <f t="shared" si="70"/>
        <v>180</v>
      </c>
      <c r="F514" s="512">
        <f>SUM(G514:M514)</f>
        <v>180</v>
      </c>
      <c r="G514" s="512"/>
      <c r="H514" s="512"/>
      <c r="I514" s="512">
        <v>180</v>
      </c>
      <c r="J514" s="512"/>
      <c r="K514" s="512"/>
      <c r="L514" s="512"/>
      <c r="M514" s="512"/>
      <c r="N514" s="512"/>
    </row>
    <row r="515" spans="1:14" s="341" customFormat="1" ht="15">
      <c r="A515" s="470"/>
      <c r="B515" s="452"/>
      <c r="C515" s="453">
        <v>4120</v>
      </c>
      <c r="D515" s="511" t="s">
        <v>656</v>
      </c>
      <c r="E515" s="507">
        <f t="shared" si="70"/>
        <v>30</v>
      </c>
      <c r="F515" s="512">
        <f>SUM(G515:M515)</f>
        <v>30</v>
      </c>
      <c r="G515" s="512"/>
      <c r="H515" s="512"/>
      <c r="I515" s="512">
        <v>30</v>
      </c>
      <c r="J515" s="512"/>
      <c r="K515" s="512"/>
      <c r="L515" s="512"/>
      <c r="M515" s="512"/>
      <c r="N515" s="512"/>
    </row>
    <row r="516" spans="1:14" s="342" customFormat="1" ht="38.25">
      <c r="A516" s="435">
        <v>853</v>
      </c>
      <c r="B516" s="435"/>
      <c r="C516" s="436"/>
      <c r="D516" s="437" t="s">
        <v>102</v>
      </c>
      <c r="E516" s="507">
        <f t="shared" si="70"/>
        <v>4023917</v>
      </c>
      <c r="F516" s="508">
        <f t="shared" si="74"/>
        <v>4019917</v>
      </c>
      <c r="G516" s="508">
        <f aca="true" t="shared" si="78" ref="G516:N516">SUM(G519+G535+G517+G567+G569)</f>
        <v>1694248</v>
      </c>
      <c r="H516" s="508">
        <f t="shared" si="78"/>
        <v>141170</v>
      </c>
      <c r="I516" s="508">
        <f t="shared" si="78"/>
        <v>517157</v>
      </c>
      <c r="J516" s="508">
        <f t="shared" si="78"/>
        <v>19300</v>
      </c>
      <c r="K516" s="508">
        <f t="shared" si="78"/>
        <v>0</v>
      </c>
      <c r="L516" s="508">
        <f t="shared" si="78"/>
        <v>1289212</v>
      </c>
      <c r="M516" s="508">
        <f t="shared" si="78"/>
        <v>358830</v>
      </c>
      <c r="N516" s="508">
        <f t="shared" si="78"/>
        <v>4000</v>
      </c>
    </row>
    <row r="517" spans="1:14" s="343" customFormat="1" ht="38.25">
      <c r="A517" s="432"/>
      <c r="B517" s="442">
        <v>85311</v>
      </c>
      <c r="C517" s="443"/>
      <c r="D517" s="444" t="s">
        <v>666</v>
      </c>
      <c r="E517" s="507">
        <f t="shared" si="70"/>
        <v>19300</v>
      </c>
      <c r="F517" s="510">
        <f t="shared" si="74"/>
        <v>19300</v>
      </c>
      <c r="G517" s="510">
        <f>SUM(G518:G518)</f>
        <v>0</v>
      </c>
      <c r="H517" s="510">
        <f aca="true" t="shared" si="79" ref="H517:N517">SUM(H518:H518)</f>
        <v>0</v>
      </c>
      <c r="I517" s="510">
        <f t="shared" si="79"/>
        <v>0</v>
      </c>
      <c r="J517" s="510">
        <f t="shared" si="79"/>
        <v>19300</v>
      </c>
      <c r="K517" s="510">
        <f t="shared" si="79"/>
        <v>0</v>
      </c>
      <c r="L517" s="510">
        <f t="shared" si="79"/>
        <v>0</v>
      </c>
      <c r="M517" s="510">
        <f t="shared" si="79"/>
        <v>0</v>
      </c>
      <c r="N517" s="510">
        <f t="shared" si="79"/>
        <v>0</v>
      </c>
    </row>
    <row r="518" spans="1:14" s="341" customFormat="1" ht="76.5">
      <c r="A518" s="470"/>
      <c r="B518" s="452"/>
      <c r="C518" s="453">
        <v>2320</v>
      </c>
      <c r="D518" s="511" t="s">
        <v>88</v>
      </c>
      <c r="E518" s="507">
        <f t="shared" si="70"/>
        <v>19300</v>
      </c>
      <c r="F518" s="512">
        <f t="shared" si="74"/>
        <v>19300</v>
      </c>
      <c r="G518" s="512"/>
      <c r="H518" s="512"/>
      <c r="I518" s="512"/>
      <c r="J518" s="512">
        <v>19300</v>
      </c>
      <c r="K518" s="512"/>
      <c r="L518" s="512"/>
      <c r="M518" s="512"/>
      <c r="N518" s="512"/>
    </row>
    <row r="519" spans="1:14" s="343" customFormat="1" ht="38.25">
      <c r="A519" s="442"/>
      <c r="B519" s="442">
        <v>85321</v>
      </c>
      <c r="C519" s="443"/>
      <c r="D519" s="444" t="s">
        <v>103</v>
      </c>
      <c r="E519" s="507">
        <f t="shared" si="70"/>
        <v>151230</v>
      </c>
      <c r="F519" s="510">
        <f t="shared" si="74"/>
        <v>151230</v>
      </c>
      <c r="G519" s="510">
        <f aca="true" t="shared" si="80" ref="G519:N519">SUM(G520:G534)</f>
        <v>48200</v>
      </c>
      <c r="H519" s="510">
        <f t="shared" si="80"/>
        <v>3900</v>
      </c>
      <c r="I519" s="510">
        <f t="shared" si="80"/>
        <v>14700</v>
      </c>
      <c r="J519" s="510">
        <f t="shared" si="80"/>
        <v>0</v>
      </c>
      <c r="K519" s="510">
        <f t="shared" si="80"/>
        <v>0</v>
      </c>
      <c r="L519" s="510">
        <f t="shared" si="80"/>
        <v>0</v>
      </c>
      <c r="M519" s="510">
        <f t="shared" si="80"/>
        <v>84430</v>
      </c>
      <c r="N519" s="510">
        <f t="shared" si="80"/>
        <v>0</v>
      </c>
    </row>
    <row r="520" spans="1:14" s="341" customFormat="1" ht="25.5">
      <c r="A520" s="452"/>
      <c r="B520" s="452"/>
      <c r="C520" s="453">
        <v>4010</v>
      </c>
      <c r="D520" s="511" t="s">
        <v>653</v>
      </c>
      <c r="E520" s="507">
        <f t="shared" si="70"/>
        <v>48200</v>
      </c>
      <c r="F520" s="512">
        <f t="shared" si="74"/>
        <v>48200</v>
      </c>
      <c r="G520" s="512">
        <v>48200</v>
      </c>
      <c r="H520" s="512"/>
      <c r="I520" s="512"/>
      <c r="J520" s="512"/>
      <c r="K520" s="512"/>
      <c r="L520" s="512"/>
      <c r="M520" s="512"/>
      <c r="N520" s="512"/>
    </row>
    <row r="521" spans="1:14" s="341" customFormat="1" ht="32.25" customHeight="1">
      <c r="A521" s="452"/>
      <c r="B521" s="452"/>
      <c r="C521" s="453">
        <v>4040</v>
      </c>
      <c r="D521" s="511" t="s">
        <v>654</v>
      </c>
      <c r="E521" s="507">
        <f t="shared" si="70"/>
        <v>3900</v>
      </c>
      <c r="F521" s="512">
        <f t="shared" si="74"/>
        <v>3900</v>
      </c>
      <c r="G521" s="512"/>
      <c r="H521" s="512">
        <v>3900</v>
      </c>
      <c r="I521" s="512"/>
      <c r="J521" s="512"/>
      <c r="K521" s="512"/>
      <c r="L521" s="512"/>
      <c r="M521" s="512"/>
      <c r="N521" s="512"/>
    </row>
    <row r="522" spans="1:14" s="341" customFormat="1" ht="25.5">
      <c r="A522" s="452"/>
      <c r="B522" s="452"/>
      <c r="C522" s="453">
        <v>4110</v>
      </c>
      <c r="D522" s="511" t="s">
        <v>655</v>
      </c>
      <c r="E522" s="507">
        <f t="shared" si="70"/>
        <v>12700</v>
      </c>
      <c r="F522" s="512">
        <f t="shared" si="74"/>
        <v>12700</v>
      </c>
      <c r="G522" s="512"/>
      <c r="H522" s="512"/>
      <c r="I522" s="512">
        <v>12700</v>
      </c>
      <c r="J522" s="512"/>
      <c r="K522" s="512"/>
      <c r="L522" s="512"/>
      <c r="M522" s="512"/>
      <c r="N522" s="512"/>
    </row>
    <row r="523" spans="1:14" s="341" customFormat="1" ht="15">
      <c r="A523" s="452"/>
      <c r="B523" s="452"/>
      <c r="C523" s="453">
        <v>4120</v>
      </c>
      <c r="D523" s="511" t="s">
        <v>656</v>
      </c>
      <c r="E523" s="507">
        <f t="shared" si="70"/>
        <v>2000</v>
      </c>
      <c r="F523" s="512">
        <f t="shared" si="74"/>
        <v>2000</v>
      </c>
      <c r="G523" s="512"/>
      <c r="H523" s="512"/>
      <c r="I523" s="512">
        <v>2000</v>
      </c>
      <c r="J523" s="512"/>
      <c r="K523" s="512"/>
      <c r="L523" s="512"/>
      <c r="M523" s="512"/>
      <c r="N523" s="512"/>
    </row>
    <row r="524" spans="1:14" s="341" customFormat="1" ht="25.5">
      <c r="A524" s="452"/>
      <c r="B524" s="452"/>
      <c r="C524" s="453">
        <v>4170</v>
      </c>
      <c r="D524" s="511" t="s">
        <v>657</v>
      </c>
      <c r="E524" s="507">
        <f t="shared" si="70"/>
        <v>38880</v>
      </c>
      <c r="F524" s="512">
        <f t="shared" si="74"/>
        <v>38880</v>
      </c>
      <c r="G524" s="512"/>
      <c r="H524" s="512"/>
      <c r="I524" s="512"/>
      <c r="J524" s="512"/>
      <c r="K524" s="512"/>
      <c r="L524" s="512"/>
      <c r="M524" s="512">
        <v>38880</v>
      </c>
      <c r="N524" s="512"/>
    </row>
    <row r="525" spans="1:14" s="341" customFormat="1" ht="32.25" customHeight="1">
      <c r="A525" s="452"/>
      <c r="B525" s="452"/>
      <c r="C525" s="453">
        <v>4210</v>
      </c>
      <c r="D525" s="511" t="s">
        <v>658</v>
      </c>
      <c r="E525" s="507">
        <f t="shared" si="70"/>
        <v>1200</v>
      </c>
      <c r="F525" s="512">
        <f t="shared" si="74"/>
        <v>1200</v>
      </c>
      <c r="G525" s="512"/>
      <c r="H525" s="512"/>
      <c r="I525" s="512"/>
      <c r="J525" s="512"/>
      <c r="K525" s="512"/>
      <c r="L525" s="512"/>
      <c r="M525" s="512">
        <v>1200</v>
      </c>
      <c r="N525" s="512"/>
    </row>
    <row r="526" spans="1:14" s="341" customFormat="1" ht="15">
      <c r="A526" s="452"/>
      <c r="B526" s="452"/>
      <c r="C526" s="453">
        <v>4270</v>
      </c>
      <c r="D526" s="511" t="s">
        <v>660</v>
      </c>
      <c r="E526" s="507">
        <f t="shared" si="70"/>
        <v>550</v>
      </c>
      <c r="F526" s="512">
        <f t="shared" si="74"/>
        <v>550</v>
      </c>
      <c r="G526" s="512"/>
      <c r="H526" s="512"/>
      <c r="I526" s="512"/>
      <c r="J526" s="512"/>
      <c r="K526" s="512"/>
      <c r="L526" s="512"/>
      <c r="M526" s="512">
        <v>550</v>
      </c>
      <c r="N526" s="512"/>
    </row>
    <row r="527" spans="1:14" s="341" customFormat="1" ht="15">
      <c r="A527" s="452"/>
      <c r="B527" s="452"/>
      <c r="C527" s="453">
        <v>4300</v>
      </c>
      <c r="D527" s="511" t="s">
        <v>641</v>
      </c>
      <c r="E527" s="507">
        <f aca="true" t="shared" si="81" ref="E527:E590">F527+N527</f>
        <v>38660</v>
      </c>
      <c r="F527" s="512">
        <f t="shared" si="74"/>
        <v>38660</v>
      </c>
      <c r="G527" s="512"/>
      <c r="H527" s="512"/>
      <c r="I527" s="512"/>
      <c r="J527" s="512"/>
      <c r="K527" s="512"/>
      <c r="L527" s="512"/>
      <c r="M527" s="512">
        <v>38660</v>
      </c>
      <c r="N527" s="512"/>
    </row>
    <row r="528" spans="1:14" s="341" customFormat="1" ht="25.5">
      <c r="A528" s="452"/>
      <c r="B528" s="452"/>
      <c r="C528" s="453">
        <v>4350</v>
      </c>
      <c r="D528" s="518" t="s">
        <v>662</v>
      </c>
      <c r="E528" s="507">
        <f t="shared" si="81"/>
        <v>500</v>
      </c>
      <c r="F528" s="512">
        <f>SUM(G528:M528)</f>
        <v>500</v>
      </c>
      <c r="G528" s="512"/>
      <c r="H528" s="512"/>
      <c r="I528" s="512"/>
      <c r="J528" s="512"/>
      <c r="K528" s="512"/>
      <c r="L528" s="512"/>
      <c r="M528" s="512">
        <v>500</v>
      </c>
      <c r="N528" s="512"/>
    </row>
    <row r="529" spans="1:14" s="341" customFormat="1" ht="38.25">
      <c r="A529" s="452"/>
      <c r="B529" s="452"/>
      <c r="C529" s="453">
        <v>4370</v>
      </c>
      <c r="D529" s="511" t="s">
        <v>63</v>
      </c>
      <c r="E529" s="507">
        <f t="shared" si="81"/>
        <v>1600</v>
      </c>
      <c r="F529" s="512">
        <f t="shared" si="74"/>
        <v>1600</v>
      </c>
      <c r="G529" s="512"/>
      <c r="H529" s="512"/>
      <c r="I529" s="512"/>
      <c r="J529" s="512"/>
      <c r="K529" s="512"/>
      <c r="L529" s="512"/>
      <c r="M529" s="512">
        <v>1600</v>
      </c>
      <c r="N529" s="512"/>
    </row>
    <row r="530" spans="1:14" s="341" customFormat="1" ht="15">
      <c r="A530" s="452"/>
      <c r="B530" s="452"/>
      <c r="C530" s="453">
        <v>4410</v>
      </c>
      <c r="D530" s="511" t="s">
        <v>104</v>
      </c>
      <c r="E530" s="507">
        <f t="shared" si="81"/>
        <v>200</v>
      </c>
      <c r="F530" s="512">
        <f t="shared" si="74"/>
        <v>200</v>
      </c>
      <c r="G530" s="512"/>
      <c r="H530" s="512"/>
      <c r="I530" s="512"/>
      <c r="J530" s="512"/>
      <c r="K530" s="512"/>
      <c r="L530" s="512"/>
      <c r="M530" s="512">
        <v>200</v>
      </c>
      <c r="N530" s="512"/>
    </row>
    <row r="531" spans="1:14" s="341" customFormat="1" ht="38.25">
      <c r="A531" s="452"/>
      <c r="B531" s="452"/>
      <c r="C531" s="453">
        <v>4440</v>
      </c>
      <c r="D531" s="511" t="s">
        <v>669</v>
      </c>
      <c r="E531" s="507">
        <f t="shared" si="81"/>
        <v>1020</v>
      </c>
      <c r="F531" s="512">
        <f t="shared" si="74"/>
        <v>1020</v>
      </c>
      <c r="G531" s="512"/>
      <c r="H531" s="512"/>
      <c r="I531" s="512"/>
      <c r="J531" s="512"/>
      <c r="K531" s="512"/>
      <c r="L531" s="512"/>
      <c r="M531" s="512">
        <v>1020</v>
      </c>
      <c r="N531" s="512"/>
    </row>
    <row r="532" spans="1:14" s="341" customFormat="1" ht="38.25">
      <c r="A532" s="452"/>
      <c r="B532" s="452"/>
      <c r="C532" s="453">
        <v>4700</v>
      </c>
      <c r="D532" s="511" t="s">
        <v>210</v>
      </c>
      <c r="E532" s="507">
        <f t="shared" si="81"/>
        <v>520</v>
      </c>
      <c r="F532" s="512">
        <f t="shared" si="74"/>
        <v>520</v>
      </c>
      <c r="G532" s="512"/>
      <c r="H532" s="512"/>
      <c r="I532" s="512"/>
      <c r="J532" s="512"/>
      <c r="K532" s="512"/>
      <c r="L532" s="512"/>
      <c r="M532" s="512">
        <v>520</v>
      </c>
      <c r="N532" s="512"/>
    </row>
    <row r="533" spans="1:14" s="341" customFormat="1" ht="51">
      <c r="A533" s="452"/>
      <c r="B533" s="452"/>
      <c r="C533" s="453">
        <v>4740</v>
      </c>
      <c r="D533" s="511" t="s">
        <v>24</v>
      </c>
      <c r="E533" s="507">
        <f t="shared" si="81"/>
        <v>300</v>
      </c>
      <c r="F533" s="512">
        <f t="shared" si="74"/>
        <v>300</v>
      </c>
      <c r="G533" s="512"/>
      <c r="H533" s="512"/>
      <c r="I533" s="512"/>
      <c r="J533" s="512"/>
      <c r="K533" s="512"/>
      <c r="L533" s="512"/>
      <c r="M533" s="512">
        <v>300</v>
      </c>
      <c r="N533" s="512"/>
    </row>
    <row r="534" spans="1:14" s="341" customFormat="1" ht="38.25">
      <c r="A534" s="452"/>
      <c r="B534" s="452"/>
      <c r="C534" s="453">
        <v>4750</v>
      </c>
      <c r="D534" s="511" t="s">
        <v>64</v>
      </c>
      <c r="E534" s="507">
        <f t="shared" si="81"/>
        <v>1000</v>
      </c>
      <c r="F534" s="512">
        <f t="shared" si="74"/>
        <v>1000</v>
      </c>
      <c r="G534" s="512"/>
      <c r="H534" s="512"/>
      <c r="I534" s="512"/>
      <c r="J534" s="512"/>
      <c r="K534" s="512"/>
      <c r="L534" s="512"/>
      <c r="M534" s="512">
        <v>1000</v>
      </c>
      <c r="N534" s="512"/>
    </row>
    <row r="535" spans="1:14" s="343" customFormat="1" ht="15.75">
      <c r="A535" s="442"/>
      <c r="B535" s="442">
        <v>85333</v>
      </c>
      <c r="C535" s="443"/>
      <c r="D535" s="444" t="s">
        <v>105</v>
      </c>
      <c r="E535" s="507">
        <f t="shared" si="81"/>
        <v>2322840</v>
      </c>
      <c r="F535" s="510">
        <f t="shared" si="74"/>
        <v>2322840</v>
      </c>
      <c r="G535" s="510">
        <f>SUM(G536:G566)</f>
        <v>1575720</v>
      </c>
      <c r="H535" s="510">
        <f aca="true" t="shared" si="82" ref="H535:N535">SUM(H536:H566)</f>
        <v>137270</v>
      </c>
      <c r="I535" s="510">
        <f t="shared" si="82"/>
        <v>335450</v>
      </c>
      <c r="J535" s="510">
        <f t="shared" si="82"/>
        <v>0</v>
      </c>
      <c r="K535" s="510">
        <f t="shared" si="82"/>
        <v>0</v>
      </c>
      <c r="L535" s="510">
        <f t="shared" si="82"/>
        <v>0</v>
      </c>
      <c r="M535" s="510">
        <f t="shared" si="82"/>
        <v>274400</v>
      </c>
      <c r="N535" s="510">
        <f t="shared" si="82"/>
        <v>0</v>
      </c>
    </row>
    <row r="536" spans="1:14" s="341" customFormat="1" ht="25.5">
      <c r="A536" s="452"/>
      <c r="B536" s="452"/>
      <c r="C536" s="453">
        <v>3020</v>
      </c>
      <c r="D536" s="511" t="s">
        <v>211</v>
      </c>
      <c r="E536" s="507">
        <f t="shared" si="81"/>
        <v>1000</v>
      </c>
      <c r="F536" s="512">
        <f t="shared" si="74"/>
        <v>1000</v>
      </c>
      <c r="G536" s="512"/>
      <c r="H536" s="512"/>
      <c r="I536" s="512"/>
      <c r="J536" s="512"/>
      <c r="K536" s="512"/>
      <c r="L536" s="512"/>
      <c r="M536" s="512">
        <v>1000</v>
      </c>
      <c r="N536" s="512"/>
    </row>
    <row r="537" spans="1:14" s="341" customFormat="1" ht="25.5">
      <c r="A537" s="452"/>
      <c r="B537" s="452"/>
      <c r="C537" s="516">
        <v>4010</v>
      </c>
      <c r="D537" s="511" t="s">
        <v>653</v>
      </c>
      <c r="E537" s="507">
        <f t="shared" si="81"/>
        <v>1575720</v>
      </c>
      <c r="F537" s="512">
        <f t="shared" si="74"/>
        <v>1575720</v>
      </c>
      <c r="G537" s="512">
        <v>1575720</v>
      </c>
      <c r="H537" s="512"/>
      <c r="I537" s="512"/>
      <c r="J537" s="512"/>
      <c r="K537" s="512"/>
      <c r="L537" s="512"/>
      <c r="M537" s="512"/>
      <c r="N537" s="512"/>
    </row>
    <row r="538" spans="1:14" s="341" customFormat="1" ht="25.5">
      <c r="A538" s="452"/>
      <c r="B538" s="452"/>
      <c r="C538" s="516">
        <v>4018</v>
      </c>
      <c r="D538" s="511" t="s">
        <v>653</v>
      </c>
      <c r="E538" s="507">
        <f t="shared" si="81"/>
        <v>0</v>
      </c>
      <c r="F538" s="512">
        <f>SUM(G538:M538)</f>
        <v>0</v>
      </c>
      <c r="G538" s="512"/>
      <c r="H538" s="512"/>
      <c r="I538" s="512"/>
      <c r="J538" s="512"/>
      <c r="K538" s="512"/>
      <c r="L538" s="512"/>
      <c r="M538" s="512"/>
      <c r="N538" s="512"/>
    </row>
    <row r="539" spans="1:14" s="341" customFormat="1" ht="25.5">
      <c r="A539" s="452"/>
      <c r="B539" s="452"/>
      <c r="C539" s="453">
        <v>4040</v>
      </c>
      <c r="D539" s="511" t="s">
        <v>654</v>
      </c>
      <c r="E539" s="507">
        <f t="shared" si="81"/>
        <v>129000</v>
      </c>
      <c r="F539" s="512">
        <f t="shared" si="74"/>
        <v>129000</v>
      </c>
      <c r="G539" s="512"/>
      <c r="H539" s="512">
        <v>129000</v>
      </c>
      <c r="I539" s="512"/>
      <c r="J539" s="512"/>
      <c r="K539" s="512"/>
      <c r="L539" s="512"/>
      <c r="M539" s="512"/>
      <c r="N539" s="512"/>
    </row>
    <row r="540" spans="1:14" s="341" customFormat="1" ht="36.75" customHeight="1">
      <c r="A540" s="452"/>
      <c r="B540" s="452"/>
      <c r="C540" s="453">
        <v>4048</v>
      </c>
      <c r="D540" s="511" t="s">
        <v>654</v>
      </c>
      <c r="E540" s="507">
        <f t="shared" si="81"/>
        <v>8270</v>
      </c>
      <c r="F540" s="512">
        <f>SUM(G540:M540)</f>
        <v>8270</v>
      </c>
      <c r="G540" s="512"/>
      <c r="H540" s="512">
        <v>8270</v>
      </c>
      <c r="I540" s="512"/>
      <c r="J540" s="512"/>
      <c r="K540" s="512"/>
      <c r="L540" s="512"/>
      <c r="M540" s="512"/>
      <c r="N540" s="512"/>
    </row>
    <row r="541" spans="1:14" s="341" customFormat="1" ht="25.5">
      <c r="A541" s="452"/>
      <c r="B541" s="452"/>
      <c r="C541" s="453">
        <v>4110</v>
      </c>
      <c r="D541" s="511" t="s">
        <v>655</v>
      </c>
      <c r="E541" s="507">
        <f t="shared" si="81"/>
        <v>287400</v>
      </c>
      <c r="F541" s="512">
        <f t="shared" si="74"/>
        <v>287400</v>
      </c>
      <c r="G541" s="512"/>
      <c r="H541" s="512"/>
      <c r="I541" s="512">
        <v>287400</v>
      </c>
      <c r="J541" s="512"/>
      <c r="K541" s="512"/>
      <c r="L541" s="512"/>
      <c r="M541" s="512"/>
      <c r="N541" s="512"/>
    </row>
    <row r="542" spans="1:14" s="341" customFormat="1" ht="25.5">
      <c r="A542" s="452"/>
      <c r="B542" s="452"/>
      <c r="C542" s="453">
        <v>4118</v>
      </c>
      <c r="D542" s="511" t="s">
        <v>655</v>
      </c>
      <c r="E542" s="507">
        <f t="shared" si="81"/>
        <v>1250</v>
      </c>
      <c r="F542" s="512">
        <f>SUM(G542:M542)</f>
        <v>1250</v>
      </c>
      <c r="G542" s="512"/>
      <c r="H542" s="512"/>
      <c r="I542" s="512">
        <v>1250</v>
      </c>
      <c r="J542" s="512"/>
      <c r="K542" s="512"/>
      <c r="L542" s="512"/>
      <c r="M542" s="512"/>
      <c r="N542" s="512"/>
    </row>
    <row r="543" spans="1:14" s="341" customFormat="1" ht="15">
      <c r="A543" s="452"/>
      <c r="B543" s="452"/>
      <c r="C543" s="453">
        <v>4120</v>
      </c>
      <c r="D543" s="511" t="s">
        <v>656</v>
      </c>
      <c r="E543" s="507">
        <f t="shared" si="81"/>
        <v>46600</v>
      </c>
      <c r="F543" s="512">
        <f t="shared" si="74"/>
        <v>46600</v>
      </c>
      <c r="G543" s="512"/>
      <c r="H543" s="512"/>
      <c r="I543" s="512">
        <v>46600</v>
      </c>
      <c r="J543" s="512"/>
      <c r="K543" s="512"/>
      <c r="L543" s="512"/>
      <c r="M543" s="512"/>
      <c r="N543" s="512"/>
    </row>
    <row r="544" spans="1:14" s="341" customFormat="1" ht="15">
      <c r="A544" s="452"/>
      <c r="B544" s="452"/>
      <c r="C544" s="453">
        <v>4128</v>
      </c>
      <c r="D544" s="511" t="s">
        <v>656</v>
      </c>
      <c r="E544" s="507">
        <f t="shared" si="81"/>
        <v>200</v>
      </c>
      <c r="F544" s="512">
        <f>SUM(G544:M544)</f>
        <v>200</v>
      </c>
      <c r="G544" s="512"/>
      <c r="H544" s="512"/>
      <c r="I544" s="512">
        <v>200</v>
      </c>
      <c r="J544" s="512"/>
      <c r="K544" s="512"/>
      <c r="L544" s="512"/>
      <c r="M544" s="512"/>
      <c r="N544" s="512"/>
    </row>
    <row r="545" spans="1:14" s="341" customFormat="1" ht="15">
      <c r="A545" s="452"/>
      <c r="B545" s="452"/>
      <c r="C545" s="453">
        <v>4140</v>
      </c>
      <c r="D545" s="511" t="s">
        <v>77</v>
      </c>
      <c r="E545" s="507">
        <f t="shared" si="81"/>
        <v>6000</v>
      </c>
      <c r="F545" s="512">
        <f>SUM(G545:M545)</f>
        <v>6000</v>
      </c>
      <c r="G545" s="512"/>
      <c r="H545" s="512"/>
      <c r="I545" s="512"/>
      <c r="J545" s="512"/>
      <c r="K545" s="512"/>
      <c r="L545" s="512"/>
      <c r="M545" s="512">
        <v>6000</v>
      </c>
      <c r="N545" s="512"/>
    </row>
    <row r="546" spans="1:14" s="341" customFormat="1" ht="25.5">
      <c r="A546" s="452"/>
      <c r="B546" s="452"/>
      <c r="C546" s="453">
        <v>4210</v>
      </c>
      <c r="D546" s="511" t="s">
        <v>658</v>
      </c>
      <c r="E546" s="507">
        <f t="shared" si="81"/>
        <v>32000</v>
      </c>
      <c r="F546" s="512">
        <f t="shared" si="74"/>
        <v>32000</v>
      </c>
      <c r="G546" s="512"/>
      <c r="H546" s="512"/>
      <c r="I546" s="512"/>
      <c r="J546" s="512"/>
      <c r="K546" s="512"/>
      <c r="L546" s="512"/>
      <c r="M546" s="512">
        <v>32000</v>
      </c>
      <c r="N546" s="512"/>
    </row>
    <row r="547" spans="1:14" s="341" customFormat="1" ht="25.5" hidden="1">
      <c r="A547" s="452"/>
      <c r="B547" s="452"/>
      <c r="C547" s="453">
        <v>4218</v>
      </c>
      <c r="D547" s="511" t="s">
        <v>658</v>
      </c>
      <c r="E547" s="507">
        <f t="shared" si="81"/>
        <v>0</v>
      </c>
      <c r="F547" s="512">
        <f>SUM(G547:M547)</f>
        <v>0</v>
      </c>
      <c r="G547" s="512"/>
      <c r="H547" s="512"/>
      <c r="I547" s="512"/>
      <c r="J547" s="512"/>
      <c r="K547" s="512"/>
      <c r="L547" s="512"/>
      <c r="M547" s="512"/>
      <c r="N547" s="512"/>
    </row>
    <row r="548" spans="1:14" s="341" customFormat="1" ht="15">
      <c r="A548" s="452"/>
      <c r="B548" s="452"/>
      <c r="C548" s="453">
        <v>4260</v>
      </c>
      <c r="D548" s="511" t="s">
        <v>659</v>
      </c>
      <c r="E548" s="507">
        <f t="shared" si="81"/>
        <v>75000</v>
      </c>
      <c r="F548" s="512">
        <f t="shared" si="74"/>
        <v>75000</v>
      </c>
      <c r="G548" s="512"/>
      <c r="H548" s="512"/>
      <c r="I548" s="512"/>
      <c r="J548" s="512"/>
      <c r="K548" s="512"/>
      <c r="L548" s="512"/>
      <c r="M548" s="512">
        <v>75000</v>
      </c>
      <c r="N548" s="512"/>
    </row>
    <row r="549" spans="1:14" s="341" customFormat="1" ht="15">
      <c r="A549" s="452"/>
      <c r="B549" s="452"/>
      <c r="C549" s="453">
        <v>4270</v>
      </c>
      <c r="D549" s="511" t="s">
        <v>660</v>
      </c>
      <c r="E549" s="507">
        <f t="shared" si="81"/>
        <v>7500</v>
      </c>
      <c r="F549" s="512">
        <f t="shared" si="74"/>
        <v>7500</v>
      </c>
      <c r="G549" s="512"/>
      <c r="H549" s="512"/>
      <c r="I549" s="512"/>
      <c r="J549" s="512"/>
      <c r="K549" s="512"/>
      <c r="L549" s="512"/>
      <c r="M549" s="512">
        <v>7500</v>
      </c>
      <c r="N549" s="512"/>
    </row>
    <row r="550" spans="1:14" s="341" customFormat="1" ht="15">
      <c r="A550" s="452"/>
      <c r="B550" s="452"/>
      <c r="C550" s="453">
        <v>4280</v>
      </c>
      <c r="D550" s="511" t="s">
        <v>106</v>
      </c>
      <c r="E550" s="507">
        <f t="shared" si="81"/>
        <v>1200</v>
      </c>
      <c r="F550" s="512">
        <f t="shared" si="74"/>
        <v>1200</v>
      </c>
      <c r="G550" s="512"/>
      <c r="H550" s="512"/>
      <c r="I550" s="512"/>
      <c r="J550" s="512"/>
      <c r="K550" s="512"/>
      <c r="L550" s="512"/>
      <c r="M550" s="512">
        <v>1200</v>
      </c>
      <c r="N550" s="512"/>
    </row>
    <row r="551" spans="1:14" s="341" customFormat="1" ht="15">
      <c r="A551" s="452"/>
      <c r="B551" s="452"/>
      <c r="C551" s="453">
        <v>4300</v>
      </c>
      <c r="D551" s="511" t="s">
        <v>107</v>
      </c>
      <c r="E551" s="507">
        <f t="shared" si="81"/>
        <v>11000</v>
      </c>
      <c r="F551" s="512">
        <f t="shared" si="74"/>
        <v>11000</v>
      </c>
      <c r="G551" s="512"/>
      <c r="H551" s="512"/>
      <c r="I551" s="512"/>
      <c r="J551" s="512"/>
      <c r="K551" s="512"/>
      <c r="L551" s="512"/>
      <c r="M551" s="512">
        <v>11000</v>
      </c>
      <c r="N551" s="512"/>
    </row>
    <row r="552" spans="1:14" s="341" customFormat="1" ht="15" hidden="1">
      <c r="A552" s="452"/>
      <c r="B552" s="452"/>
      <c r="C552" s="453">
        <v>4308</v>
      </c>
      <c r="D552" s="511" t="s">
        <v>107</v>
      </c>
      <c r="E552" s="507">
        <f t="shared" si="81"/>
        <v>0</v>
      </c>
      <c r="F552" s="512">
        <f>SUM(G552:M552)</f>
        <v>0</v>
      </c>
      <c r="G552" s="512"/>
      <c r="H552" s="512"/>
      <c r="I552" s="512"/>
      <c r="J552" s="512"/>
      <c r="K552" s="512"/>
      <c r="L552" s="512"/>
      <c r="M552" s="512"/>
      <c r="N552" s="512"/>
    </row>
    <row r="553" spans="1:14" s="341" customFormat="1" ht="46.5" customHeight="1">
      <c r="A553" s="452"/>
      <c r="B553" s="452"/>
      <c r="C553" s="453">
        <v>4360</v>
      </c>
      <c r="D553" s="511" t="s">
        <v>70</v>
      </c>
      <c r="E553" s="507">
        <f t="shared" si="81"/>
        <v>1900</v>
      </c>
      <c r="F553" s="512">
        <f aca="true" t="shared" si="83" ref="F553:F656">SUM(G553:M553)</f>
        <v>1900</v>
      </c>
      <c r="G553" s="512"/>
      <c r="H553" s="512"/>
      <c r="I553" s="512"/>
      <c r="J553" s="512"/>
      <c r="K553" s="512"/>
      <c r="L553" s="512"/>
      <c r="M553" s="512">
        <v>1900</v>
      </c>
      <c r="N553" s="512"/>
    </row>
    <row r="554" spans="1:14" s="341" customFormat="1" ht="38.25">
      <c r="A554" s="452"/>
      <c r="B554" s="452"/>
      <c r="C554" s="453">
        <v>4370</v>
      </c>
      <c r="D554" s="511" t="s">
        <v>63</v>
      </c>
      <c r="E554" s="507">
        <f t="shared" si="81"/>
        <v>4500</v>
      </c>
      <c r="F554" s="512">
        <f t="shared" si="83"/>
        <v>4500</v>
      </c>
      <c r="G554" s="512"/>
      <c r="H554" s="512"/>
      <c r="I554" s="512"/>
      <c r="J554" s="512"/>
      <c r="K554" s="512"/>
      <c r="L554" s="512"/>
      <c r="M554" s="512">
        <v>4500</v>
      </c>
      <c r="N554" s="512"/>
    </row>
    <row r="555" spans="1:14" s="341" customFormat="1" ht="51">
      <c r="A555" s="452"/>
      <c r="B555" s="452"/>
      <c r="C555" s="453">
        <v>4400</v>
      </c>
      <c r="D555" s="511" t="s">
        <v>362</v>
      </c>
      <c r="E555" s="507">
        <f t="shared" si="81"/>
        <v>50000</v>
      </c>
      <c r="F555" s="512">
        <f t="shared" si="83"/>
        <v>50000</v>
      </c>
      <c r="G555" s="512"/>
      <c r="H555" s="512"/>
      <c r="I555" s="512"/>
      <c r="J555" s="512"/>
      <c r="K555" s="512"/>
      <c r="L555" s="512"/>
      <c r="M555" s="512">
        <v>50000</v>
      </c>
      <c r="N555" s="512"/>
    </row>
    <row r="556" spans="1:14" s="341" customFormat="1" ht="15">
      <c r="A556" s="452"/>
      <c r="B556" s="452"/>
      <c r="C556" s="453">
        <v>4410</v>
      </c>
      <c r="D556" s="511" t="s">
        <v>667</v>
      </c>
      <c r="E556" s="507">
        <f t="shared" si="81"/>
        <v>500</v>
      </c>
      <c r="F556" s="512">
        <f t="shared" si="83"/>
        <v>500</v>
      </c>
      <c r="G556" s="512"/>
      <c r="H556" s="512"/>
      <c r="I556" s="512"/>
      <c r="J556" s="512"/>
      <c r="K556" s="512"/>
      <c r="L556" s="512"/>
      <c r="M556" s="512">
        <v>500</v>
      </c>
      <c r="N556" s="512"/>
    </row>
    <row r="557" spans="1:14" s="341" customFormat="1" ht="15">
      <c r="A557" s="452"/>
      <c r="B557" s="452"/>
      <c r="C557" s="453">
        <v>4430</v>
      </c>
      <c r="D557" s="511" t="s">
        <v>668</v>
      </c>
      <c r="E557" s="507">
        <f t="shared" si="81"/>
        <v>7700</v>
      </c>
      <c r="F557" s="512">
        <f t="shared" si="83"/>
        <v>7700</v>
      </c>
      <c r="G557" s="512"/>
      <c r="H557" s="512"/>
      <c r="I557" s="512"/>
      <c r="J557" s="512"/>
      <c r="K557" s="512"/>
      <c r="L557" s="512"/>
      <c r="M557" s="512">
        <v>7700</v>
      </c>
      <c r="N557" s="512"/>
    </row>
    <row r="558" spans="1:14" s="341" customFormat="1" ht="48" customHeight="1">
      <c r="A558" s="452"/>
      <c r="B558" s="452"/>
      <c r="C558" s="453">
        <v>4440</v>
      </c>
      <c r="D558" s="511" t="s">
        <v>669</v>
      </c>
      <c r="E558" s="507">
        <f t="shared" si="81"/>
        <v>68000</v>
      </c>
      <c r="F558" s="512">
        <f>SUM(G558:M558)</f>
        <v>68000</v>
      </c>
      <c r="G558" s="512"/>
      <c r="H558" s="512"/>
      <c r="I558" s="512"/>
      <c r="J558" s="512"/>
      <c r="K558" s="512"/>
      <c r="L558" s="512"/>
      <c r="M558" s="512">
        <v>68000</v>
      </c>
      <c r="N558" s="512"/>
    </row>
    <row r="559" spans="1:14" s="341" customFormat="1" ht="38.25" hidden="1">
      <c r="A559" s="452"/>
      <c r="B559" s="452"/>
      <c r="C559" s="453">
        <v>4448</v>
      </c>
      <c r="D559" s="511" t="s">
        <v>669</v>
      </c>
      <c r="E559" s="507">
        <f t="shared" si="81"/>
        <v>0</v>
      </c>
      <c r="F559" s="512">
        <f>SUM(G559:M559)</f>
        <v>0</v>
      </c>
      <c r="G559" s="512"/>
      <c r="H559" s="512"/>
      <c r="I559" s="512"/>
      <c r="J559" s="512"/>
      <c r="K559" s="512"/>
      <c r="L559" s="512"/>
      <c r="M559" s="512"/>
      <c r="N559" s="512"/>
    </row>
    <row r="560" spans="1:14" s="341" customFormat="1" ht="48" customHeight="1" hidden="1">
      <c r="A560" s="452"/>
      <c r="B560" s="452"/>
      <c r="C560" s="453">
        <v>4448</v>
      </c>
      <c r="D560" s="511" t="s">
        <v>669</v>
      </c>
      <c r="E560" s="507">
        <f t="shared" si="81"/>
        <v>0</v>
      </c>
      <c r="F560" s="512">
        <f>SUM(G560:M560)</f>
        <v>0</v>
      </c>
      <c r="G560" s="512"/>
      <c r="H560" s="512"/>
      <c r="I560" s="512"/>
      <c r="J560" s="512"/>
      <c r="K560" s="512"/>
      <c r="L560" s="512"/>
      <c r="M560" s="512"/>
      <c r="N560" s="512"/>
    </row>
    <row r="561" spans="1:14" s="341" customFormat="1" ht="15">
      <c r="A561" s="452"/>
      <c r="B561" s="452"/>
      <c r="C561" s="453">
        <v>4480</v>
      </c>
      <c r="D561" s="511" t="s">
        <v>670</v>
      </c>
      <c r="E561" s="507">
        <f t="shared" si="81"/>
        <v>4500</v>
      </c>
      <c r="F561" s="512">
        <f t="shared" si="83"/>
        <v>4500</v>
      </c>
      <c r="G561" s="512"/>
      <c r="H561" s="512"/>
      <c r="I561" s="512"/>
      <c r="J561" s="512"/>
      <c r="K561" s="512"/>
      <c r="L561" s="512"/>
      <c r="M561" s="512">
        <v>4500</v>
      </c>
      <c r="N561" s="512"/>
    </row>
    <row r="562" spans="1:14" s="341" customFormat="1" ht="41.25" customHeight="1" hidden="1">
      <c r="A562" s="452"/>
      <c r="B562" s="452"/>
      <c r="C562" s="453">
        <v>4510</v>
      </c>
      <c r="D562" s="511" t="s">
        <v>346</v>
      </c>
      <c r="E562" s="507">
        <f t="shared" si="81"/>
        <v>0</v>
      </c>
      <c r="F562" s="512">
        <f>SUM(G562:M562)</f>
        <v>0</v>
      </c>
      <c r="G562" s="512"/>
      <c r="H562" s="512"/>
      <c r="I562" s="512"/>
      <c r="J562" s="512"/>
      <c r="K562" s="512"/>
      <c r="L562" s="512"/>
      <c r="M562" s="512"/>
      <c r="N562" s="512"/>
    </row>
    <row r="563" spans="1:14" s="341" customFormat="1" ht="41.25" customHeight="1" hidden="1">
      <c r="A563" s="452"/>
      <c r="B563" s="452"/>
      <c r="C563" s="453">
        <v>4520</v>
      </c>
      <c r="D563" s="511" t="s">
        <v>123</v>
      </c>
      <c r="E563" s="507">
        <f t="shared" si="81"/>
        <v>0</v>
      </c>
      <c r="F563" s="512">
        <f t="shared" si="83"/>
        <v>0</v>
      </c>
      <c r="G563" s="512"/>
      <c r="H563" s="512"/>
      <c r="I563" s="512"/>
      <c r="J563" s="512"/>
      <c r="K563" s="512"/>
      <c r="L563" s="512"/>
      <c r="M563" s="512"/>
      <c r="N563" s="512"/>
    </row>
    <row r="564" spans="1:14" s="341" customFormat="1" ht="38.25">
      <c r="A564" s="452"/>
      <c r="B564" s="452"/>
      <c r="C564" s="453">
        <v>4700</v>
      </c>
      <c r="D564" s="511" t="s">
        <v>210</v>
      </c>
      <c r="E564" s="507">
        <f t="shared" si="81"/>
        <v>3000</v>
      </c>
      <c r="F564" s="512">
        <f t="shared" si="83"/>
        <v>3000</v>
      </c>
      <c r="G564" s="512"/>
      <c r="H564" s="512"/>
      <c r="I564" s="512"/>
      <c r="J564" s="512"/>
      <c r="K564" s="512"/>
      <c r="L564" s="512"/>
      <c r="M564" s="512">
        <v>3000</v>
      </c>
      <c r="N564" s="512"/>
    </row>
    <row r="565" spans="1:14" s="341" customFormat="1" ht="51">
      <c r="A565" s="452"/>
      <c r="B565" s="452"/>
      <c r="C565" s="453">
        <v>4740</v>
      </c>
      <c r="D565" s="511" t="s">
        <v>24</v>
      </c>
      <c r="E565" s="507">
        <f t="shared" si="81"/>
        <v>600</v>
      </c>
      <c r="F565" s="512">
        <f t="shared" si="83"/>
        <v>600</v>
      </c>
      <c r="G565" s="512"/>
      <c r="H565" s="512"/>
      <c r="I565" s="512"/>
      <c r="J565" s="512"/>
      <c r="K565" s="512"/>
      <c r="L565" s="512"/>
      <c r="M565" s="512">
        <v>600</v>
      </c>
      <c r="N565" s="512"/>
    </row>
    <row r="566" spans="1:14" s="341" customFormat="1" ht="38.25" hidden="1">
      <c r="A566" s="452"/>
      <c r="B566" s="452"/>
      <c r="C566" s="453">
        <v>4758</v>
      </c>
      <c r="D566" s="511" t="s">
        <v>64</v>
      </c>
      <c r="E566" s="507">
        <f t="shared" si="81"/>
        <v>0</v>
      </c>
      <c r="F566" s="512">
        <f>SUM(G566:M566)</f>
        <v>0</v>
      </c>
      <c r="G566" s="512"/>
      <c r="H566" s="512"/>
      <c r="I566" s="512"/>
      <c r="J566" s="512"/>
      <c r="K566" s="512"/>
      <c r="L566" s="512"/>
      <c r="M566" s="512"/>
      <c r="N566" s="512"/>
    </row>
    <row r="567" spans="1:14" s="341" customFormat="1" ht="15" hidden="1">
      <c r="A567" s="452"/>
      <c r="B567" s="496">
        <v>85334</v>
      </c>
      <c r="C567" s="443"/>
      <c r="D567" s="499" t="s">
        <v>247</v>
      </c>
      <c r="E567" s="507">
        <f t="shared" si="81"/>
        <v>0</v>
      </c>
      <c r="F567" s="510">
        <f>SUM(G567:M567)</f>
        <v>0</v>
      </c>
      <c r="G567" s="510">
        <f>SUM(G568)</f>
        <v>0</v>
      </c>
      <c r="H567" s="510">
        <f aca="true" t="shared" si="84" ref="H567:N567">SUM(H568)</f>
        <v>0</v>
      </c>
      <c r="I567" s="510">
        <f t="shared" si="84"/>
        <v>0</v>
      </c>
      <c r="J567" s="510">
        <f t="shared" si="84"/>
        <v>0</v>
      </c>
      <c r="K567" s="510">
        <f t="shared" si="84"/>
        <v>0</v>
      </c>
      <c r="L567" s="510">
        <f t="shared" si="84"/>
        <v>0</v>
      </c>
      <c r="M567" s="510">
        <f t="shared" si="84"/>
        <v>0</v>
      </c>
      <c r="N567" s="510">
        <f t="shared" si="84"/>
        <v>0</v>
      </c>
    </row>
    <row r="568" spans="1:14" s="341" customFormat="1" ht="15" hidden="1">
      <c r="A568" s="452"/>
      <c r="B568" s="452"/>
      <c r="C568" s="539">
        <v>3110</v>
      </c>
      <c r="D568" s="518" t="s">
        <v>89</v>
      </c>
      <c r="E568" s="507">
        <f t="shared" si="81"/>
        <v>0</v>
      </c>
      <c r="F568" s="512">
        <f>SUM(G568:M568)</f>
        <v>0</v>
      </c>
      <c r="G568" s="512"/>
      <c r="H568" s="512"/>
      <c r="I568" s="512"/>
      <c r="J568" s="512"/>
      <c r="K568" s="512"/>
      <c r="L568" s="512"/>
      <c r="M568" s="512"/>
      <c r="N568" s="512"/>
    </row>
    <row r="569" spans="1:14" s="341" customFormat="1" ht="15">
      <c r="A569" s="452"/>
      <c r="B569" s="432">
        <v>85395</v>
      </c>
      <c r="C569" s="540"/>
      <c r="D569" s="444" t="s">
        <v>101</v>
      </c>
      <c r="E569" s="507">
        <f t="shared" si="81"/>
        <v>1530547</v>
      </c>
      <c r="F569" s="510">
        <f>SUM(G569:M569)</f>
        <v>1526547</v>
      </c>
      <c r="G569" s="512">
        <f>SUM(G570:G609)</f>
        <v>70328</v>
      </c>
      <c r="H569" s="512">
        <f aca="true" t="shared" si="85" ref="H569:N569">SUM(H570:H609)</f>
        <v>0</v>
      </c>
      <c r="I569" s="512">
        <f t="shared" si="85"/>
        <v>167007</v>
      </c>
      <c r="J569" s="512">
        <f t="shared" si="85"/>
        <v>0</v>
      </c>
      <c r="K569" s="512">
        <f t="shared" si="85"/>
        <v>0</v>
      </c>
      <c r="L569" s="512">
        <f t="shared" si="85"/>
        <v>1289212</v>
      </c>
      <c r="M569" s="512">
        <f t="shared" si="85"/>
        <v>0</v>
      </c>
      <c r="N569" s="512">
        <f t="shared" si="85"/>
        <v>4000</v>
      </c>
    </row>
    <row r="570" spans="1:16" s="341" customFormat="1" ht="63.75" hidden="1">
      <c r="A570" s="452"/>
      <c r="B570" s="73"/>
      <c r="C570" s="456">
        <v>2318</v>
      </c>
      <c r="D570" s="480" t="s">
        <v>255</v>
      </c>
      <c r="E570" s="507">
        <f t="shared" si="81"/>
        <v>0</v>
      </c>
      <c r="F570" s="510">
        <f aca="true" t="shared" si="86" ref="F570:F609">SUM(G570:M570)</f>
        <v>0</v>
      </c>
      <c r="G570" s="512"/>
      <c r="H570" s="512"/>
      <c r="I570" s="512"/>
      <c r="J570" s="541"/>
      <c r="K570" s="512"/>
      <c r="L570" s="512"/>
      <c r="M570" s="512"/>
      <c r="N570" s="512"/>
      <c r="P570" s="344"/>
    </row>
    <row r="571" spans="1:14" s="341" customFormat="1" ht="75.75" customHeight="1" hidden="1">
      <c r="A571" s="452"/>
      <c r="B571" s="73"/>
      <c r="C571" s="456">
        <v>2319</v>
      </c>
      <c r="D571" s="480" t="s">
        <v>256</v>
      </c>
      <c r="E571" s="507">
        <f t="shared" si="81"/>
        <v>0</v>
      </c>
      <c r="F571" s="510">
        <f t="shared" si="86"/>
        <v>0</v>
      </c>
      <c r="G571" s="512"/>
      <c r="H571" s="512"/>
      <c r="I571" s="512"/>
      <c r="J571" s="541"/>
      <c r="K571" s="512"/>
      <c r="L571" s="512"/>
      <c r="M571" s="512"/>
      <c r="N571" s="512"/>
    </row>
    <row r="572" spans="1:14" s="341" customFormat="1" ht="73.5" customHeight="1" hidden="1">
      <c r="A572" s="452"/>
      <c r="B572" s="73"/>
      <c r="C572" s="456">
        <v>2328</v>
      </c>
      <c r="D572" s="480" t="s">
        <v>680</v>
      </c>
      <c r="E572" s="507">
        <f t="shared" si="81"/>
        <v>0</v>
      </c>
      <c r="F572" s="510">
        <f aca="true" t="shared" si="87" ref="F572:F577">SUM(G572:M572)</f>
        <v>0</v>
      </c>
      <c r="G572" s="512"/>
      <c r="H572" s="512"/>
      <c r="I572" s="512"/>
      <c r="J572" s="541"/>
      <c r="K572" s="512"/>
      <c r="L572" s="512"/>
      <c r="M572" s="512"/>
      <c r="N572" s="512"/>
    </row>
    <row r="573" spans="1:14" s="341" customFormat="1" ht="87.75" customHeight="1" hidden="1">
      <c r="A573" s="452"/>
      <c r="B573" s="73"/>
      <c r="C573" s="456">
        <v>2329</v>
      </c>
      <c r="D573" s="480" t="s">
        <v>680</v>
      </c>
      <c r="E573" s="507">
        <f t="shared" si="81"/>
        <v>0</v>
      </c>
      <c r="F573" s="510">
        <f t="shared" si="87"/>
        <v>0</v>
      </c>
      <c r="G573" s="512"/>
      <c r="H573" s="512"/>
      <c r="I573" s="512"/>
      <c r="J573" s="541"/>
      <c r="K573" s="512"/>
      <c r="L573" s="512"/>
      <c r="M573" s="512"/>
      <c r="N573" s="512"/>
    </row>
    <row r="574" spans="1:14" s="341" customFormat="1" ht="30.75" customHeight="1" hidden="1">
      <c r="A574" s="470"/>
      <c r="B574" s="452"/>
      <c r="C574" s="453">
        <v>3118</v>
      </c>
      <c r="D574" s="511" t="s">
        <v>89</v>
      </c>
      <c r="E574" s="507">
        <f t="shared" si="81"/>
        <v>0</v>
      </c>
      <c r="F574" s="512">
        <f t="shared" si="87"/>
        <v>0</v>
      </c>
      <c r="G574" s="512"/>
      <c r="H574" s="512"/>
      <c r="I574" s="512"/>
      <c r="J574" s="512"/>
      <c r="K574" s="512"/>
      <c r="L574" s="512"/>
      <c r="M574" s="512"/>
      <c r="N574" s="512"/>
    </row>
    <row r="575" spans="1:14" s="341" customFormat="1" ht="36" customHeight="1" hidden="1">
      <c r="A575" s="470"/>
      <c r="B575" s="452"/>
      <c r="C575" s="453">
        <v>3119</v>
      </c>
      <c r="D575" s="511" t="s">
        <v>89</v>
      </c>
      <c r="E575" s="507">
        <f t="shared" si="81"/>
        <v>0</v>
      </c>
      <c r="F575" s="512">
        <f t="shared" si="87"/>
        <v>0</v>
      </c>
      <c r="G575" s="512"/>
      <c r="H575" s="512"/>
      <c r="I575" s="512"/>
      <c r="J575" s="512"/>
      <c r="K575" s="512"/>
      <c r="L575" s="512"/>
      <c r="M575" s="512"/>
      <c r="N575" s="512"/>
    </row>
    <row r="576" spans="1:14" s="341" customFormat="1" ht="25.5">
      <c r="A576" s="452"/>
      <c r="B576" s="73"/>
      <c r="C576" s="540">
        <v>4018</v>
      </c>
      <c r="D576" s="480" t="s">
        <v>653</v>
      </c>
      <c r="E576" s="507">
        <f t="shared" si="81"/>
        <v>59954</v>
      </c>
      <c r="F576" s="510">
        <f t="shared" si="87"/>
        <v>59954</v>
      </c>
      <c r="G576" s="512">
        <v>59954</v>
      </c>
      <c r="H576" s="512"/>
      <c r="I576" s="398"/>
      <c r="J576" s="512"/>
      <c r="K576" s="512"/>
      <c r="L576" s="512"/>
      <c r="M576" s="512"/>
      <c r="N576" s="512"/>
    </row>
    <row r="577" spans="1:14" s="341" customFormat="1" ht="25.5">
      <c r="A577" s="452"/>
      <c r="B577" s="73"/>
      <c r="C577" s="540">
        <v>4019</v>
      </c>
      <c r="D577" s="480" t="s">
        <v>653</v>
      </c>
      <c r="E577" s="507">
        <f t="shared" si="81"/>
        <v>10374</v>
      </c>
      <c r="F577" s="510">
        <f t="shared" si="87"/>
        <v>10374</v>
      </c>
      <c r="G577" s="512">
        <v>10374</v>
      </c>
      <c r="H577" s="512"/>
      <c r="I577" s="398"/>
      <c r="J577" s="512"/>
      <c r="K577" s="512"/>
      <c r="L577" s="512"/>
      <c r="M577" s="512"/>
      <c r="N577" s="512"/>
    </row>
    <row r="578" spans="1:14" s="341" customFormat="1" ht="25.5">
      <c r="A578" s="452"/>
      <c r="B578" s="73"/>
      <c r="C578" s="540">
        <v>4118</v>
      </c>
      <c r="D578" s="480" t="s">
        <v>59</v>
      </c>
      <c r="E578" s="507">
        <f t="shared" si="81"/>
        <v>122282</v>
      </c>
      <c r="F578" s="510">
        <f t="shared" si="86"/>
        <v>122282</v>
      </c>
      <c r="G578" s="512"/>
      <c r="H578" s="512"/>
      <c r="I578" s="398">
        <v>122282</v>
      </c>
      <c r="J578" s="512"/>
      <c r="K578" s="512"/>
      <c r="L578" s="512"/>
      <c r="M578" s="512"/>
      <c r="N578" s="512"/>
    </row>
    <row r="579" spans="1:14" s="341" customFormat="1" ht="25.5">
      <c r="A579" s="452"/>
      <c r="B579" s="73"/>
      <c r="C579" s="540">
        <v>4119</v>
      </c>
      <c r="D579" s="480" t="s">
        <v>59</v>
      </c>
      <c r="E579" s="507">
        <f t="shared" si="81"/>
        <v>21507</v>
      </c>
      <c r="F579" s="510">
        <f t="shared" si="86"/>
        <v>21507</v>
      </c>
      <c r="G579" s="512"/>
      <c r="H579" s="512"/>
      <c r="I579" s="398">
        <v>21507</v>
      </c>
      <c r="J579" s="512"/>
      <c r="K579" s="512"/>
      <c r="L579" s="512"/>
      <c r="M579" s="512"/>
      <c r="N579" s="512"/>
    </row>
    <row r="580" spans="1:14" s="341" customFormat="1" ht="15">
      <c r="A580" s="452"/>
      <c r="B580" s="73"/>
      <c r="C580" s="540">
        <v>4128</v>
      </c>
      <c r="D580" s="480" t="s">
        <v>61</v>
      </c>
      <c r="E580" s="507">
        <f t="shared" si="81"/>
        <v>19747</v>
      </c>
      <c r="F580" s="510">
        <f t="shared" si="86"/>
        <v>19747</v>
      </c>
      <c r="G580" s="512"/>
      <c r="H580" s="512"/>
      <c r="I580" s="398">
        <v>19747</v>
      </c>
      <c r="J580" s="512"/>
      <c r="K580" s="512"/>
      <c r="L580" s="512"/>
      <c r="M580" s="512"/>
      <c r="N580" s="512"/>
    </row>
    <row r="581" spans="1:14" s="341" customFormat="1" ht="15">
      <c r="A581" s="452"/>
      <c r="B581" s="73"/>
      <c r="C581" s="540">
        <v>4129</v>
      </c>
      <c r="D581" s="480" t="s">
        <v>61</v>
      </c>
      <c r="E581" s="507">
        <f t="shared" si="81"/>
        <v>3471</v>
      </c>
      <c r="F581" s="510">
        <f t="shared" si="86"/>
        <v>3471</v>
      </c>
      <c r="G581" s="512"/>
      <c r="H581" s="512"/>
      <c r="I581" s="398">
        <v>3471</v>
      </c>
      <c r="J581" s="512"/>
      <c r="K581" s="512"/>
      <c r="L581" s="512"/>
      <c r="M581" s="512"/>
      <c r="N581" s="512"/>
    </row>
    <row r="582" spans="1:14" s="341" customFormat="1" ht="30" customHeight="1">
      <c r="A582" s="452"/>
      <c r="B582" s="73"/>
      <c r="C582" s="540">
        <v>4178</v>
      </c>
      <c r="D582" s="480" t="s">
        <v>21</v>
      </c>
      <c r="E582" s="507">
        <f t="shared" si="81"/>
        <v>864916</v>
      </c>
      <c r="F582" s="510">
        <f t="shared" si="86"/>
        <v>864916</v>
      </c>
      <c r="G582" s="512"/>
      <c r="H582" s="512"/>
      <c r="I582" s="512"/>
      <c r="J582" s="512"/>
      <c r="K582" s="512"/>
      <c r="L582" s="398">
        <v>864916</v>
      </c>
      <c r="M582" s="512"/>
      <c r="N582" s="512"/>
    </row>
    <row r="583" spans="1:14" s="341" customFormat="1" ht="27.75" customHeight="1">
      <c r="A583" s="452"/>
      <c r="B583" s="73"/>
      <c r="C583" s="540">
        <v>4179</v>
      </c>
      <c r="D583" s="480" t="s">
        <v>21</v>
      </c>
      <c r="E583" s="507">
        <f t="shared" si="81"/>
        <v>145707</v>
      </c>
      <c r="F583" s="510">
        <f t="shared" si="86"/>
        <v>145707</v>
      </c>
      <c r="G583" s="512"/>
      <c r="H583" s="512"/>
      <c r="I583" s="512"/>
      <c r="J583" s="512"/>
      <c r="K583" s="512"/>
      <c r="L583" s="398">
        <v>145707</v>
      </c>
      <c r="M583" s="512"/>
      <c r="N583" s="512"/>
    </row>
    <row r="584" spans="1:14" s="341" customFormat="1" ht="25.5">
      <c r="A584" s="452"/>
      <c r="B584" s="73"/>
      <c r="C584" s="540">
        <v>4218</v>
      </c>
      <c r="D584" s="480" t="s">
        <v>658</v>
      </c>
      <c r="E584" s="507">
        <f t="shared" si="81"/>
        <v>51041</v>
      </c>
      <c r="F584" s="510">
        <f t="shared" si="86"/>
        <v>51041</v>
      </c>
      <c r="G584" s="512"/>
      <c r="H584" s="512"/>
      <c r="I584" s="512"/>
      <c r="J584" s="512"/>
      <c r="K584" s="512"/>
      <c r="L584" s="398">
        <v>51041</v>
      </c>
      <c r="M584" s="512"/>
      <c r="N584" s="512"/>
    </row>
    <row r="585" spans="1:14" s="341" customFormat="1" ht="25.5">
      <c r="A585" s="452"/>
      <c r="B585" s="73"/>
      <c r="C585" s="540">
        <v>4219</v>
      </c>
      <c r="D585" s="480" t="s">
        <v>658</v>
      </c>
      <c r="E585" s="507">
        <f t="shared" si="81"/>
        <v>8306</v>
      </c>
      <c r="F585" s="510">
        <f t="shared" si="86"/>
        <v>8306</v>
      </c>
      <c r="G585" s="512"/>
      <c r="H585" s="512"/>
      <c r="I585" s="512"/>
      <c r="J585" s="512"/>
      <c r="K585" s="512"/>
      <c r="L585" s="398">
        <v>8306</v>
      </c>
      <c r="M585" s="512"/>
      <c r="N585" s="512"/>
    </row>
    <row r="586" spans="1:14" s="341" customFormat="1" ht="25.5">
      <c r="A586" s="452"/>
      <c r="B586" s="73"/>
      <c r="C586" s="540">
        <v>4248</v>
      </c>
      <c r="D586" s="480" t="s">
        <v>69</v>
      </c>
      <c r="E586" s="507">
        <f t="shared" si="81"/>
        <v>18493</v>
      </c>
      <c r="F586" s="510">
        <f>SUM(G586:M586)</f>
        <v>18493</v>
      </c>
      <c r="G586" s="512"/>
      <c r="H586" s="512"/>
      <c r="I586" s="512"/>
      <c r="J586" s="512"/>
      <c r="K586" s="512"/>
      <c r="L586" s="398">
        <v>18493</v>
      </c>
      <c r="M586" s="512"/>
      <c r="N586" s="512"/>
    </row>
    <row r="587" spans="1:14" s="341" customFormat="1" ht="25.5">
      <c r="A587" s="452"/>
      <c r="B587" s="481"/>
      <c r="C587" s="540">
        <v>4248</v>
      </c>
      <c r="D587" s="480" t="s">
        <v>69</v>
      </c>
      <c r="E587" s="507">
        <f t="shared" si="81"/>
        <v>3263</v>
      </c>
      <c r="F587" s="510">
        <f>SUM(G587:M587)</f>
        <v>3263</v>
      </c>
      <c r="G587" s="512"/>
      <c r="H587" s="512"/>
      <c r="I587" s="512"/>
      <c r="J587" s="512"/>
      <c r="K587" s="512"/>
      <c r="L587" s="398">
        <v>3263</v>
      </c>
      <c r="M587" s="512"/>
      <c r="N587" s="512"/>
    </row>
    <row r="588" spans="1:14" s="341" customFormat="1" ht="15">
      <c r="A588" s="452"/>
      <c r="B588" s="452"/>
      <c r="C588" s="453">
        <v>4268</v>
      </c>
      <c r="D588" s="511" t="s">
        <v>659</v>
      </c>
      <c r="E588" s="507">
        <f t="shared" si="81"/>
        <v>4133</v>
      </c>
      <c r="F588" s="512">
        <f t="shared" si="86"/>
        <v>4133</v>
      </c>
      <c r="G588" s="512"/>
      <c r="H588" s="512"/>
      <c r="I588" s="512"/>
      <c r="J588" s="512"/>
      <c r="K588" s="512"/>
      <c r="L588" s="512">
        <v>4133</v>
      </c>
      <c r="M588" s="512"/>
      <c r="N588" s="512"/>
    </row>
    <row r="589" spans="1:14" s="341" customFormat="1" ht="15">
      <c r="A589" s="452"/>
      <c r="B589" s="452"/>
      <c r="C589" s="453">
        <v>4269</v>
      </c>
      <c r="D589" s="511" t="s">
        <v>659</v>
      </c>
      <c r="E589" s="507">
        <f t="shared" si="81"/>
        <v>619</v>
      </c>
      <c r="F589" s="512">
        <f t="shared" si="86"/>
        <v>619</v>
      </c>
      <c r="G589" s="512"/>
      <c r="H589" s="512"/>
      <c r="I589" s="512"/>
      <c r="J589" s="512"/>
      <c r="K589" s="512"/>
      <c r="L589" s="512">
        <v>619</v>
      </c>
      <c r="M589" s="512"/>
      <c r="N589" s="512"/>
    </row>
    <row r="590" spans="1:14" s="341" customFormat="1" ht="15">
      <c r="A590" s="452"/>
      <c r="B590" s="73"/>
      <c r="C590" s="540">
        <v>4308</v>
      </c>
      <c r="D590" s="480" t="s">
        <v>641</v>
      </c>
      <c r="E590" s="507">
        <f t="shared" si="81"/>
        <v>131582</v>
      </c>
      <c r="F590" s="510">
        <f t="shared" si="86"/>
        <v>131582</v>
      </c>
      <c r="G590" s="512"/>
      <c r="H590" s="512"/>
      <c r="I590" s="512"/>
      <c r="J590" s="512"/>
      <c r="K590" s="512"/>
      <c r="L590" s="398">
        <v>131582</v>
      </c>
      <c r="M590" s="512"/>
      <c r="N590" s="512"/>
    </row>
    <row r="591" spans="1:14" s="341" customFormat="1" ht="15">
      <c r="A591" s="452"/>
      <c r="B591" s="73"/>
      <c r="C591" s="540">
        <v>4309</v>
      </c>
      <c r="D591" s="480" t="s">
        <v>641</v>
      </c>
      <c r="E591" s="507">
        <f aca="true" t="shared" si="88" ref="E591:E652">F591+N591</f>
        <v>16937</v>
      </c>
      <c r="F591" s="510">
        <f t="shared" si="86"/>
        <v>16937</v>
      </c>
      <c r="G591" s="512"/>
      <c r="H591" s="512"/>
      <c r="I591" s="512"/>
      <c r="J591" s="512"/>
      <c r="K591" s="512"/>
      <c r="L591" s="398">
        <v>16937</v>
      </c>
      <c r="M591" s="512"/>
      <c r="N591" s="512"/>
    </row>
    <row r="592" spans="1:14" s="341" customFormat="1" ht="25.5">
      <c r="A592" s="452"/>
      <c r="B592" s="73"/>
      <c r="C592" s="528">
        <v>4358</v>
      </c>
      <c r="D592" s="529" t="s">
        <v>662</v>
      </c>
      <c r="E592" s="507">
        <f t="shared" si="88"/>
        <v>308</v>
      </c>
      <c r="F592" s="510">
        <f aca="true" t="shared" si="89" ref="F592:F599">SUM(G592:M592)</f>
        <v>308</v>
      </c>
      <c r="G592" s="512"/>
      <c r="H592" s="512"/>
      <c r="I592" s="512"/>
      <c r="J592" s="512"/>
      <c r="K592" s="512"/>
      <c r="L592" s="535">
        <v>308</v>
      </c>
      <c r="M592" s="512"/>
      <c r="N592" s="512"/>
    </row>
    <row r="593" spans="1:14" s="341" customFormat="1" ht="25.5">
      <c r="A593" s="452"/>
      <c r="B593" s="73"/>
      <c r="C593" s="528">
        <v>4359</v>
      </c>
      <c r="D593" s="529" t="s">
        <v>662</v>
      </c>
      <c r="E593" s="507">
        <f t="shared" si="88"/>
        <v>54</v>
      </c>
      <c r="F593" s="510">
        <f t="shared" si="89"/>
        <v>54</v>
      </c>
      <c r="G593" s="512"/>
      <c r="H593" s="512"/>
      <c r="I593" s="512"/>
      <c r="J593" s="512"/>
      <c r="K593" s="512"/>
      <c r="L593" s="535">
        <v>54</v>
      </c>
      <c r="M593" s="512"/>
      <c r="N593" s="512"/>
    </row>
    <row r="594" spans="1:14" s="341" customFormat="1" ht="38.25" hidden="1">
      <c r="A594" s="452"/>
      <c r="B594" s="73"/>
      <c r="C594" s="528">
        <v>4368</v>
      </c>
      <c r="D594" s="529" t="s">
        <v>70</v>
      </c>
      <c r="E594" s="507">
        <f t="shared" si="88"/>
        <v>0</v>
      </c>
      <c r="F594" s="510">
        <f t="shared" si="89"/>
        <v>0</v>
      </c>
      <c r="G594" s="512"/>
      <c r="H594" s="512"/>
      <c r="I594" s="512"/>
      <c r="J594" s="512"/>
      <c r="K594" s="512"/>
      <c r="L594" s="542"/>
      <c r="M594" s="512"/>
      <c r="N594" s="512"/>
    </row>
    <row r="595" spans="1:14" s="341" customFormat="1" ht="38.25" hidden="1">
      <c r="A595" s="452"/>
      <c r="B595" s="73"/>
      <c r="C595" s="528">
        <v>4369</v>
      </c>
      <c r="D595" s="529" t="s">
        <v>70</v>
      </c>
      <c r="E595" s="507">
        <f t="shared" si="88"/>
        <v>0</v>
      </c>
      <c r="F595" s="510">
        <f t="shared" si="89"/>
        <v>0</v>
      </c>
      <c r="G595" s="512"/>
      <c r="H595" s="512"/>
      <c r="I595" s="512"/>
      <c r="J595" s="512"/>
      <c r="K595" s="512"/>
      <c r="L595" s="542"/>
      <c r="M595" s="512"/>
      <c r="N595" s="512"/>
    </row>
    <row r="596" spans="1:14" s="341" customFormat="1" ht="38.25">
      <c r="A596" s="452"/>
      <c r="B596" s="73"/>
      <c r="C596" s="528">
        <v>4378</v>
      </c>
      <c r="D596" s="529" t="s">
        <v>63</v>
      </c>
      <c r="E596" s="507">
        <f t="shared" si="88"/>
        <v>2052</v>
      </c>
      <c r="F596" s="510">
        <f t="shared" si="89"/>
        <v>2052</v>
      </c>
      <c r="G596" s="512"/>
      <c r="H596" s="512"/>
      <c r="I596" s="512"/>
      <c r="J596" s="512"/>
      <c r="K596" s="512"/>
      <c r="L596" s="542">
        <v>2052</v>
      </c>
      <c r="M596" s="512"/>
      <c r="N596" s="512"/>
    </row>
    <row r="597" spans="1:14" s="341" customFormat="1" ht="38.25">
      <c r="A597" s="452"/>
      <c r="B597" s="73"/>
      <c r="C597" s="528">
        <v>4379</v>
      </c>
      <c r="D597" s="529" t="s">
        <v>63</v>
      </c>
      <c r="E597" s="507">
        <f t="shared" si="88"/>
        <v>362</v>
      </c>
      <c r="F597" s="510">
        <f t="shared" si="89"/>
        <v>362</v>
      </c>
      <c r="G597" s="512"/>
      <c r="H597" s="512"/>
      <c r="I597" s="512"/>
      <c r="J597" s="512"/>
      <c r="K597" s="512"/>
      <c r="L597" s="542">
        <v>362</v>
      </c>
      <c r="M597" s="512"/>
      <c r="N597" s="512"/>
    </row>
    <row r="598" spans="1:14" s="341" customFormat="1" ht="51" hidden="1">
      <c r="A598" s="452"/>
      <c r="B598" s="73"/>
      <c r="C598" s="540">
        <v>4408</v>
      </c>
      <c r="D598" s="455" t="s">
        <v>362</v>
      </c>
      <c r="E598" s="507">
        <f t="shared" si="88"/>
        <v>0</v>
      </c>
      <c r="F598" s="510">
        <f t="shared" si="89"/>
        <v>0</v>
      </c>
      <c r="G598" s="512"/>
      <c r="H598" s="512"/>
      <c r="I598" s="512"/>
      <c r="J598" s="512"/>
      <c r="K598" s="512"/>
      <c r="L598" s="398"/>
      <c r="M598" s="512"/>
      <c r="N598" s="512"/>
    </row>
    <row r="599" spans="1:14" s="341" customFormat="1" ht="51" hidden="1">
      <c r="A599" s="452"/>
      <c r="B599" s="73"/>
      <c r="C599" s="540">
        <v>4409</v>
      </c>
      <c r="D599" s="455" t="s">
        <v>362</v>
      </c>
      <c r="E599" s="507">
        <f t="shared" si="88"/>
        <v>0</v>
      </c>
      <c r="F599" s="510">
        <f t="shared" si="89"/>
        <v>0</v>
      </c>
      <c r="G599" s="512"/>
      <c r="H599" s="512"/>
      <c r="I599" s="512"/>
      <c r="J599" s="512"/>
      <c r="K599" s="512"/>
      <c r="L599" s="398"/>
      <c r="M599" s="512"/>
      <c r="N599" s="512"/>
    </row>
    <row r="600" spans="1:14" s="341" customFormat="1" ht="15">
      <c r="A600" s="452"/>
      <c r="B600" s="481"/>
      <c r="C600" s="540">
        <v>4419</v>
      </c>
      <c r="D600" s="480" t="s">
        <v>667</v>
      </c>
      <c r="E600" s="507">
        <f t="shared" si="88"/>
        <v>286</v>
      </c>
      <c r="F600" s="510">
        <f>SUM(G600:M600)</f>
        <v>286</v>
      </c>
      <c r="G600" s="512"/>
      <c r="H600" s="512"/>
      <c r="I600" s="512"/>
      <c r="J600" s="512"/>
      <c r="K600" s="512"/>
      <c r="L600" s="398">
        <v>286</v>
      </c>
      <c r="M600" s="512"/>
      <c r="N600" s="512"/>
    </row>
    <row r="601" spans="1:14" s="341" customFormat="1" ht="15">
      <c r="A601" s="452"/>
      <c r="B601" s="481"/>
      <c r="C601" s="540">
        <v>4418</v>
      </c>
      <c r="D601" s="480" t="s">
        <v>667</v>
      </c>
      <c r="E601" s="507">
        <f t="shared" si="88"/>
        <v>51</v>
      </c>
      <c r="F601" s="510">
        <f>SUM(G601:M601)</f>
        <v>51</v>
      </c>
      <c r="G601" s="512"/>
      <c r="H601" s="512"/>
      <c r="I601" s="512"/>
      <c r="J601" s="512"/>
      <c r="K601" s="512"/>
      <c r="L601" s="398">
        <v>51</v>
      </c>
      <c r="M601" s="512"/>
      <c r="N601" s="512"/>
    </row>
    <row r="602" spans="1:14" s="341" customFormat="1" ht="15" hidden="1">
      <c r="A602" s="452"/>
      <c r="B602" s="73"/>
      <c r="C602" s="540">
        <v>4438</v>
      </c>
      <c r="D602" s="480" t="s">
        <v>668</v>
      </c>
      <c r="E602" s="507">
        <f t="shared" si="88"/>
        <v>0</v>
      </c>
      <c r="F602" s="510">
        <f>SUM(G602:M602)</f>
        <v>0</v>
      </c>
      <c r="G602" s="512"/>
      <c r="H602" s="512"/>
      <c r="I602" s="512"/>
      <c r="J602" s="512"/>
      <c r="K602" s="512"/>
      <c r="L602" s="398"/>
      <c r="M602" s="512"/>
      <c r="N602" s="512"/>
    </row>
    <row r="603" spans="1:14" s="341" customFormat="1" ht="15" hidden="1">
      <c r="A603" s="452"/>
      <c r="B603" s="73"/>
      <c r="C603" s="540">
        <v>4439</v>
      </c>
      <c r="D603" s="480" t="s">
        <v>668</v>
      </c>
      <c r="E603" s="507">
        <f t="shared" si="88"/>
        <v>0</v>
      </c>
      <c r="F603" s="510">
        <f>SUM(G603:M603)</f>
        <v>0</v>
      </c>
      <c r="G603" s="512"/>
      <c r="H603" s="512"/>
      <c r="I603" s="512"/>
      <c r="J603" s="512"/>
      <c r="K603" s="512"/>
      <c r="L603" s="398"/>
      <c r="M603" s="512"/>
      <c r="N603" s="512"/>
    </row>
    <row r="604" spans="1:14" s="341" customFormat="1" ht="63.75" customHeight="1">
      <c r="A604" s="452"/>
      <c r="B604" s="73"/>
      <c r="C604" s="540">
        <v>4748</v>
      </c>
      <c r="D604" s="480" t="s">
        <v>24</v>
      </c>
      <c r="E604" s="507">
        <f t="shared" si="88"/>
        <v>10104</v>
      </c>
      <c r="F604" s="510">
        <f t="shared" si="86"/>
        <v>10104</v>
      </c>
      <c r="G604" s="512"/>
      <c r="H604" s="512"/>
      <c r="I604" s="512"/>
      <c r="J604" s="512"/>
      <c r="K604" s="512"/>
      <c r="L604" s="398">
        <v>10104</v>
      </c>
      <c r="M604" s="512"/>
      <c r="N604" s="512"/>
    </row>
    <row r="605" spans="1:14" s="341" customFormat="1" ht="63.75" customHeight="1">
      <c r="A605" s="452"/>
      <c r="B605" s="73"/>
      <c r="C605" s="540">
        <v>4749</v>
      </c>
      <c r="D605" s="480" t="s">
        <v>24</v>
      </c>
      <c r="E605" s="507">
        <f t="shared" si="88"/>
        <v>1718</v>
      </c>
      <c r="F605" s="510">
        <f t="shared" si="86"/>
        <v>1718</v>
      </c>
      <c r="G605" s="512"/>
      <c r="H605" s="512"/>
      <c r="I605" s="512"/>
      <c r="J605" s="512"/>
      <c r="K605" s="512"/>
      <c r="L605" s="398">
        <v>1718</v>
      </c>
      <c r="M605" s="512"/>
      <c r="N605" s="512"/>
    </row>
    <row r="606" spans="1:14" s="341" customFormat="1" ht="51" customHeight="1">
      <c r="A606" s="452"/>
      <c r="B606" s="73"/>
      <c r="C606" s="540">
        <v>4758</v>
      </c>
      <c r="D606" s="480" t="s">
        <v>64</v>
      </c>
      <c r="E606" s="507">
        <f t="shared" si="88"/>
        <v>24970</v>
      </c>
      <c r="F606" s="510">
        <f t="shared" si="86"/>
        <v>24970</v>
      </c>
      <c r="G606" s="512"/>
      <c r="H606" s="512"/>
      <c r="I606" s="512"/>
      <c r="J606" s="512"/>
      <c r="K606" s="512"/>
      <c r="L606" s="398">
        <v>24970</v>
      </c>
      <c r="M606" s="512"/>
      <c r="N606" s="512"/>
    </row>
    <row r="607" spans="1:14" s="341" customFormat="1" ht="38.25">
      <c r="A607" s="452"/>
      <c r="B607" s="73"/>
      <c r="C607" s="540">
        <v>4759</v>
      </c>
      <c r="D607" s="480" t="s">
        <v>64</v>
      </c>
      <c r="E607" s="507">
        <f t="shared" si="88"/>
        <v>4310</v>
      </c>
      <c r="F607" s="510">
        <f t="shared" si="86"/>
        <v>4310</v>
      </c>
      <c r="G607" s="512"/>
      <c r="H607" s="512"/>
      <c r="I607" s="512"/>
      <c r="J607" s="512"/>
      <c r="K607" s="512"/>
      <c r="L607" s="398">
        <v>4310</v>
      </c>
      <c r="M607" s="512"/>
      <c r="N607" s="512"/>
    </row>
    <row r="608" spans="1:14" s="341" customFormat="1" ht="38.25">
      <c r="A608" s="435"/>
      <c r="B608" s="435"/>
      <c r="C608" s="453">
        <v>6068</v>
      </c>
      <c r="D608" s="517" t="s">
        <v>212</v>
      </c>
      <c r="E608" s="507">
        <f t="shared" si="88"/>
        <v>3400</v>
      </c>
      <c r="F608" s="512">
        <f t="shared" si="86"/>
        <v>0</v>
      </c>
      <c r="G608" s="512"/>
      <c r="H608" s="512"/>
      <c r="I608" s="512"/>
      <c r="J608" s="512"/>
      <c r="K608" s="512"/>
      <c r="L608" s="512"/>
      <c r="M608" s="512"/>
      <c r="N608" s="512">
        <v>3400</v>
      </c>
    </row>
    <row r="609" spans="1:14" s="341" customFormat="1" ht="38.25">
      <c r="A609" s="435"/>
      <c r="B609" s="435"/>
      <c r="C609" s="453">
        <v>6069</v>
      </c>
      <c r="D609" s="517" t="s">
        <v>212</v>
      </c>
      <c r="E609" s="507">
        <f t="shared" si="88"/>
        <v>600</v>
      </c>
      <c r="F609" s="512">
        <f t="shared" si="86"/>
        <v>0</v>
      </c>
      <c r="G609" s="512"/>
      <c r="H609" s="512"/>
      <c r="I609" s="512"/>
      <c r="J609" s="512"/>
      <c r="K609" s="512"/>
      <c r="L609" s="512"/>
      <c r="M609" s="512"/>
      <c r="N609" s="512">
        <v>600</v>
      </c>
    </row>
    <row r="610" spans="1:14" s="342" customFormat="1" ht="25.5">
      <c r="A610" s="435">
        <v>854</v>
      </c>
      <c r="B610" s="435"/>
      <c r="C610" s="436"/>
      <c r="D610" s="437" t="s">
        <v>108</v>
      </c>
      <c r="E610" s="507">
        <f t="shared" si="88"/>
        <v>2239772</v>
      </c>
      <c r="F610" s="508">
        <f t="shared" si="83"/>
        <v>2209772</v>
      </c>
      <c r="G610" s="508">
        <f aca="true" t="shared" si="90" ref="G610:N610">SUM(G611+G618+G641+G659+G664+G666+G669)</f>
        <v>1032002</v>
      </c>
      <c r="H610" s="508">
        <f t="shared" si="90"/>
        <v>81280</v>
      </c>
      <c r="I610" s="508">
        <f t="shared" si="90"/>
        <v>195630</v>
      </c>
      <c r="J610" s="508">
        <f t="shared" si="90"/>
        <v>304720</v>
      </c>
      <c r="K610" s="508">
        <f t="shared" si="90"/>
        <v>0</v>
      </c>
      <c r="L610" s="508">
        <f t="shared" si="90"/>
        <v>0</v>
      </c>
      <c r="M610" s="508">
        <f t="shared" si="90"/>
        <v>596140</v>
      </c>
      <c r="N610" s="508">
        <f t="shared" si="90"/>
        <v>30000</v>
      </c>
    </row>
    <row r="611" spans="1:14" s="343" customFormat="1" ht="15.75">
      <c r="A611" s="442"/>
      <c r="B611" s="442">
        <v>85401</v>
      </c>
      <c r="C611" s="443"/>
      <c r="D611" s="444" t="s">
        <v>109</v>
      </c>
      <c r="E611" s="507">
        <f t="shared" si="88"/>
        <v>164370</v>
      </c>
      <c r="F611" s="510">
        <f t="shared" si="83"/>
        <v>164370</v>
      </c>
      <c r="G611" s="510">
        <f aca="true" t="shared" si="91" ref="G611:N611">SUM(G612:G617)</f>
        <v>124050</v>
      </c>
      <c r="H611" s="510">
        <f t="shared" si="91"/>
        <v>10540</v>
      </c>
      <c r="I611" s="510">
        <f t="shared" si="91"/>
        <v>23270</v>
      </c>
      <c r="J611" s="510">
        <f t="shared" si="91"/>
        <v>0</v>
      </c>
      <c r="K611" s="510">
        <f t="shared" si="91"/>
        <v>0</v>
      </c>
      <c r="L611" s="510">
        <f t="shared" si="91"/>
        <v>0</v>
      </c>
      <c r="M611" s="510">
        <f t="shared" si="91"/>
        <v>6510</v>
      </c>
      <c r="N611" s="510">
        <f t="shared" si="91"/>
        <v>0</v>
      </c>
    </row>
    <row r="612" spans="1:14" s="341" customFormat="1" ht="25.5">
      <c r="A612" s="452"/>
      <c r="B612" s="452"/>
      <c r="C612" s="453">
        <v>3020</v>
      </c>
      <c r="D612" s="511" t="s">
        <v>211</v>
      </c>
      <c r="E612" s="507">
        <f t="shared" si="88"/>
        <v>310</v>
      </c>
      <c r="F612" s="512">
        <f t="shared" si="83"/>
        <v>310</v>
      </c>
      <c r="G612" s="512"/>
      <c r="H612" s="512"/>
      <c r="I612" s="512"/>
      <c r="J612" s="512"/>
      <c r="K612" s="512"/>
      <c r="L612" s="512"/>
      <c r="M612" s="512">
        <v>310</v>
      </c>
      <c r="N612" s="512"/>
    </row>
    <row r="613" spans="1:14" s="341" customFormat="1" ht="25.5">
      <c r="A613" s="452"/>
      <c r="B613" s="452"/>
      <c r="C613" s="453">
        <v>4010</v>
      </c>
      <c r="D613" s="511" t="s">
        <v>653</v>
      </c>
      <c r="E613" s="507">
        <f t="shared" si="88"/>
        <v>124050</v>
      </c>
      <c r="F613" s="512">
        <f t="shared" si="83"/>
        <v>124050</v>
      </c>
      <c r="G613" s="512">
        <v>124050</v>
      </c>
      <c r="H613" s="512"/>
      <c r="I613" s="512"/>
      <c r="J613" s="512"/>
      <c r="K613" s="512"/>
      <c r="L613" s="512"/>
      <c r="M613" s="512"/>
      <c r="N613" s="512"/>
    </row>
    <row r="614" spans="1:14" s="341" customFormat="1" ht="25.5">
      <c r="A614" s="452"/>
      <c r="B614" s="452"/>
      <c r="C614" s="453">
        <v>4040</v>
      </c>
      <c r="D614" s="511" t="s">
        <v>654</v>
      </c>
      <c r="E614" s="507">
        <f t="shared" si="88"/>
        <v>10540</v>
      </c>
      <c r="F614" s="512">
        <f t="shared" si="83"/>
        <v>10540</v>
      </c>
      <c r="G614" s="512"/>
      <c r="H614" s="512">
        <v>10540</v>
      </c>
      <c r="I614" s="512"/>
      <c r="J614" s="512"/>
      <c r="K614" s="512"/>
      <c r="L614" s="512"/>
      <c r="M614" s="512"/>
      <c r="N614" s="512"/>
    </row>
    <row r="615" spans="1:14" s="341" customFormat="1" ht="25.5">
      <c r="A615" s="452"/>
      <c r="B615" s="452"/>
      <c r="C615" s="453">
        <v>4110</v>
      </c>
      <c r="D615" s="511" t="s">
        <v>59</v>
      </c>
      <c r="E615" s="507">
        <f t="shared" si="88"/>
        <v>20040</v>
      </c>
      <c r="F615" s="512">
        <f t="shared" si="83"/>
        <v>20040</v>
      </c>
      <c r="G615" s="512"/>
      <c r="H615" s="512"/>
      <c r="I615" s="512">
        <v>20040</v>
      </c>
      <c r="J615" s="512"/>
      <c r="K615" s="512"/>
      <c r="L615" s="512"/>
      <c r="M615" s="512"/>
      <c r="N615" s="512"/>
    </row>
    <row r="616" spans="1:14" s="341" customFormat="1" ht="15">
      <c r="A616" s="452"/>
      <c r="B616" s="452"/>
      <c r="C616" s="453">
        <v>4120</v>
      </c>
      <c r="D616" s="511" t="s">
        <v>656</v>
      </c>
      <c r="E616" s="507">
        <f t="shared" si="88"/>
        <v>3230</v>
      </c>
      <c r="F616" s="512">
        <f t="shared" si="83"/>
        <v>3230</v>
      </c>
      <c r="G616" s="512"/>
      <c r="H616" s="512"/>
      <c r="I616" s="512">
        <v>3230</v>
      </c>
      <c r="J616" s="512"/>
      <c r="K616" s="512"/>
      <c r="L616" s="512"/>
      <c r="M616" s="512"/>
      <c r="N616" s="512"/>
    </row>
    <row r="617" spans="1:14" s="341" customFormat="1" ht="40.5" customHeight="1">
      <c r="A617" s="452"/>
      <c r="B617" s="452"/>
      <c r="C617" s="453">
        <v>4440</v>
      </c>
      <c r="D617" s="511" t="s">
        <v>669</v>
      </c>
      <c r="E617" s="507">
        <f t="shared" si="88"/>
        <v>6200</v>
      </c>
      <c r="F617" s="512">
        <f t="shared" si="83"/>
        <v>6200</v>
      </c>
      <c r="G617" s="512"/>
      <c r="H617" s="512"/>
      <c r="I617" s="512"/>
      <c r="J617" s="512"/>
      <c r="K617" s="512"/>
      <c r="L617" s="512"/>
      <c r="M617" s="512">
        <v>6200</v>
      </c>
      <c r="N617" s="512"/>
    </row>
    <row r="618" spans="1:14" s="343" customFormat="1" ht="38.25">
      <c r="A618" s="442"/>
      <c r="B618" s="442">
        <v>85406</v>
      </c>
      <c r="C618" s="443"/>
      <c r="D618" s="444" t="s">
        <v>110</v>
      </c>
      <c r="E618" s="507">
        <f t="shared" si="88"/>
        <v>1062880</v>
      </c>
      <c r="F618" s="510">
        <f t="shared" si="83"/>
        <v>1062880</v>
      </c>
      <c r="G618" s="510">
        <f aca="true" t="shared" si="92" ref="G618:N618">SUM(G619:G640)</f>
        <v>525130</v>
      </c>
      <c r="H618" s="510">
        <f t="shared" si="92"/>
        <v>40620</v>
      </c>
      <c r="I618" s="510">
        <f t="shared" si="92"/>
        <v>98390</v>
      </c>
      <c r="J618" s="510">
        <f>SUM(J619:J640)</f>
        <v>304720</v>
      </c>
      <c r="K618" s="510">
        <f t="shared" si="92"/>
        <v>0</v>
      </c>
      <c r="L618" s="510">
        <f t="shared" si="92"/>
        <v>0</v>
      </c>
      <c r="M618" s="510">
        <f t="shared" si="92"/>
        <v>94020</v>
      </c>
      <c r="N618" s="510">
        <f t="shared" si="92"/>
        <v>0</v>
      </c>
    </row>
    <row r="619" spans="1:14" s="341" customFormat="1" ht="92.25" customHeight="1">
      <c r="A619" s="452"/>
      <c r="B619" s="452"/>
      <c r="C619" s="453">
        <v>2310</v>
      </c>
      <c r="D619" s="511" t="s">
        <v>111</v>
      </c>
      <c r="E619" s="507">
        <f t="shared" si="88"/>
        <v>304720</v>
      </c>
      <c r="F619" s="512">
        <f>SUM(G619:K619)</f>
        <v>304720</v>
      </c>
      <c r="G619" s="512"/>
      <c r="H619" s="512"/>
      <c r="I619" s="512"/>
      <c r="J619" s="512">
        <v>304720</v>
      </c>
      <c r="K619" s="512"/>
      <c r="L619" s="512"/>
      <c r="M619" s="113"/>
      <c r="N619" s="512"/>
    </row>
    <row r="620" spans="1:14" s="341" customFormat="1" ht="33.75" customHeight="1">
      <c r="A620" s="452"/>
      <c r="B620" s="452"/>
      <c r="C620" s="453">
        <v>3020</v>
      </c>
      <c r="D620" s="511" t="s">
        <v>211</v>
      </c>
      <c r="E620" s="507">
        <f t="shared" si="88"/>
        <v>11410</v>
      </c>
      <c r="F620" s="512">
        <f t="shared" si="83"/>
        <v>11410</v>
      </c>
      <c r="G620" s="512"/>
      <c r="H620" s="512"/>
      <c r="I620" s="512"/>
      <c r="J620" s="512"/>
      <c r="K620" s="512"/>
      <c r="L620" s="512"/>
      <c r="M620" s="512">
        <v>11410</v>
      </c>
      <c r="N620" s="512"/>
    </row>
    <row r="621" spans="1:14" s="341" customFormat="1" ht="25.5">
      <c r="A621" s="452"/>
      <c r="B621" s="452"/>
      <c r="C621" s="453">
        <v>4010</v>
      </c>
      <c r="D621" s="511" t="s">
        <v>653</v>
      </c>
      <c r="E621" s="507">
        <f t="shared" si="88"/>
        <v>525130</v>
      </c>
      <c r="F621" s="512">
        <f t="shared" si="83"/>
        <v>525130</v>
      </c>
      <c r="G621" s="512">
        <v>525130</v>
      </c>
      <c r="H621" s="512"/>
      <c r="I621" s="512"/>
      <c r="J621" s="512"/>
      <c r="K621" s="512"/>
      <c r="L621" s="512"/>
      <c r="M621" s="512"/>
      <c r="N621" s="512"/>
    </row>
    <row r="622" spans="1:14" s="341" customFormat="1" ht="25.5">
      <c r="A622" s="452"/>
      <c r="B622" s="452"/>
      <c r="C622" s="453">
        <v>4040</v>
      </c>
      <c r="D622" s="511" t="s">
        <v>654</v>
      </c>
      <c r="E622" s="507">
        <f t="shared" si="88"/>
        <v>40620</v>
      </c>
      <c r="F622" s="512">
        <f t="shared" si="83"/>
        <v>40620</v>
      </c>
      <c r="G622" s="512"/>
      <c r="H622" s="512">
        <v>40620</v>
      </c>
      <c r="I622" s="512"/>
      <c r="J622" s="512"/>
      <c r="K622" s="512"/>
      <c r="L622" s="512"/>
      <c r="M622" s="512"/>
      <c r="N622" s="512"/>
    </row>
    <row r="623" spans="1:14" s="341" customFormat="1" ht="25.5">
      <c r="A623" s="452"/>
      <c r="B623" s="452"/>
      <c r="C623" s="453">
        <v>4110</v>
      </c>
      <c r="D623" s="511" t="s">
        <v>59</v>
      </c>
      <c r="E623" s="507">
        <f t="shared" si="88"/>
        <v>84810</v>
      </c>
      <c r="F623" s="512">
        <f t="shared" si="83"/>
        <v>84810</v>
      </c>
      <c r="G623" s="512"/>
      <c r="H623" s="512"/>
      <c r="I623" s="512">
        <v>84810</v>
      </c>
      <c r="J623" s="512"/>
      <c r="K623" s="512"/>
      <c r="L623" s="512"/>
      <c r="M623" s="512"/>
      <c r="N623" s="512"/>
    </row>
    <row r="624" spans="1:14" s="341" customFormat="1" ht="15">
      <c r="A624" s="452"/>
      <c r="B624" s="452"/>
      <c r="C624" s="453">
        <v>4120</v>
      </c>
      <c r="D624" s="511" t="s">
        <v>656</v>
      </c>
      <c r="E624" s="507">
        <f t="shared" si="88"/>
        <v>13580</v>
      </c>
      <c r="F624" s="512">
        <f t="shared" si="83"/>
        <v>13580</v>
      </c>
      <c r="G624" s="512"/>
      <c r="H624" s="512"/>
      <c r="I624" s="512">
        <v>13580</v>
      </c>
      <c r="J624" s="512"/>
      <c r="K624" s="512"/>
      <c r="L624" s="512"/>
      <c r="M624" s="512"/>
      <c r="N624" s="512"/>
    </row>
    <row r="625" spans="1:14" s="341" customFormat="1" ht="25.5">
      <c r="A625" s="452"/>
      <c r="B625" s="452"/>
      <c r="C625" s="453">
        <v>4170</v>
      </c>
      <c r="D625" s="511" t="s">
        <v>94</v>
      </c>
      <c r="E625" s="507">
        <f t="shared" si="88"/>
        <v>6830</v>
      </c>
      <c r="F625" s="512">
        <f t="shared" si="83"/>
        <v>6830</v>
      </c>
      <c r="G625" s="512"/>
      <c r="H625" s="512"/>
      <c r="I625" s="512"/>
      <c r="J625" s="512"/>
      <c r="K625" s="512"/>
      <c r="L625" s="512"/>
      <c r="M625" s="512">
        <v>6830</v>
      </c>
      <c r="N625" s="512"/>
    </row>
    <row r="626" spans="1:14" s="341" customFormat="1" ht="36.75" customHeight="1">
      <c r="A626" s="452"/>
      <c r="B626" s="452"/>
      <c r="C626" s="453">
        <v>4210</v>
      </c>
      <c r="D626" s="511" t="s">
        <v>658</v>
      </c>
      <c r="E626" s="507">
        <f t="shared" si="88"/>
        <v>8560</v>
      </c>
      <c r="F626" s="512">
        <f t="shared" si="83"/>
        <v>8560</v>
      </c>
      <c r="G626" s="512"/>
      <c r="H626" s="512"/>
      <c r="I626" s="512"/>
      <c r="J626" s="512"/>
      <c r="K626" s="512"/>
      <c r="L626" s="512"/>
      <c r="M626" s="512">
        <v>8560</v>
      </c>
      <c r="N626" s="512"/>
    </row>
    <row r="627" spans="1:14" s="341" customFormat="1" ht="61.5" customHeight="1">
      <c r="A627" s="452"/>
      <c r="B627" s="452"/>
      <c r="C627" s="453">
        <v>4240</v>
      </c>
      <c r="D627" s="511" t="s">
        <v>69</v>
      </c>
      <c r="E627" s="507">
        <f t="shared" si="88"/>
        <v>1160</v>
      </c>
      <c r="F627" s="512">
        <f t="shared" si="83"/>
        <v>1160</v>
      </c>
      <c r="G627" s="512"/>
      <c r="H627" s="512"/>
      <c r="I627" s="512"/>
      <c r="J627" s="512"/>
      <c r="K627" s="512"/>
      <c r="L627" s="512"/>
      <c r="M627" s="512">
        <v>1160</v>
      </c>
      <c r="N627" s="512"/>
    </row>
    <row r="628" spans="1:14" s="341" customFormat="1" ht="15">
      <c r="A628" s="452"/>
      <c r="B628" s="452"/>
      <c r="C628" s="453">
        <v>4260</v>
      </c>
      <c r="D628" s="511" t="s">
        <v>659</v>
      </c>
      <c r="E628" s="507">
        <f t="shared" si="88"/>
        <v>14520</v>
      </c>
      <c r="F628" s="512">
        <f t="shared" si="83"/>
        <v>14520</v>
      </c>
      <c r="G628" s="512"/>
      <c r="H628" s="512"/>
      <c r="I628" s="512"/>
      <c r="J628" s="512"/>
      <c r="K628" s="512"/>
      <c r="L628" s="512"/>
      <c r="M628" s="512">
        <v>14520</v>
      </c>
      <c r="N628" s="512"/>
    </row>
    <row r="629" spans="1:14" s="341" customFormat="1" ht="15">
      <c r="A629" s="452"/>
      <c r="B629" s="452"/>
      <c r="C629" s="453">
        <v>4270</v>
      </c>
      <c r="D629" s="511" t="s">
        <v>660</v>
      </c>
      <c r="E629" s="507">
        <f t="shared" si="88"/>
        <v>0</v>
      </c>
      <c r="F629" s="512">
        <f t="shared" si="83"/>
        <v>0</v>
      </c>
      <c r="G629" s="512"/>
      <c r="H629" s="512"/>
      <c r="I629" s="512"/>
      <c r="J629" s="512"/>
      <c r="K629" s="512"/>
      <c r="L629" s="512"/>
      <c r="M629" s="512"/>
      <c r="N629" s="512"/>
    </row>
    <row r="630" spans="1:14" s="341" customFormat="1" ht="15">
      <c r="A630" s="452"/>
      <c r="B630" s="452"/>
      <c r="C630" s="453">
        <v>4280</v>
      </c>
      <c r="D630" s="511" t="s">
        <v>661</v>
      </c>
      <c r="E630" s="507">
        <f t="shared" si="88"/>
        <v>370</v>
      </c>
      <c r="F630" s="512">
        <f t="shared" si="83"/>
        <v>370</v>
      </c>
      <c r="G630" s="512"/>
      <c r="H630" s="512"/>
      <c r="I630" s="512"/>
      <c r="J630" s="512"/>
      <c r="K630" s="512"/>
      <c r="L630" s="512"/>
      <c r="M630" s="512">
        <v>370</v>
      </c>
      <c r="N630" s="512"/>
    </row>
    <row r="631" spans="1:14" s="341" customFormat="1" ht="39.75" customHeight="1">
      <c r="A631" s="452"/>
      <c r="B631" s="452"/>
      <c r="C631" s="453">
        <v>4300</v>
      </c>
      <c r="D631" s="511" t="s">
        <v>32</v>
      </c>
      <c r="E631" s="507">
        <f t="shared" si="88"/>
        <v>4900</v>
      </c>
      <c r="F631" s="512">
        <f t="shared" si="83"/>
        <v>4900</v>
      </c>
      <c r="G631" s="512"/>
      <c r="H631" s="512"/>
      <c r="I631" s="512"/>
      <c r="J631" s="512"/>
      <c r="K631" s="512"/>
      <c r="L631" s="512"/>
      <c r="M631" s="512">
        <v>4900</v>
      </c>
      <c r="N631" s="512"/>
    </row>
    <row r="632" spans="1:14" s="341" customFormat="1" ht="42.75" customHeight="1">
      <c r="A632" s="452"/>
      <c r="B632" s="452"/>
      <c r="C632" s="453">
        <v>4350</v>
      </c>
      <c r="D632" s="511" t="s">
        <v>662</v>
      </c>
      <c r="E632" s="507">
        <f t="shared" si="88"/>
        <v>1010</v>
      </c>
      <c r="F632" s="512">
        <f t="shared" si="83"/>
        <v>1010</v>
      </c>
      <c r="G632" s="512"/>
      <c r="H632" s="512"/>
      <c r="I632" s="512"/>
      <c r="J632" s="512"/>
      <c r="K632" s="512"/>
      <c r="L632" s="512"/>
      <c r="M632" s="512">
        <v>1010</v>
      </c>
      <c r="N632" s="512"/>
    </row>
    <row r="633" spans="1:14" s="341" customFormat="1" ht="38.25">
      <c r="A633" s="452"/>
      <c r="B633" s="452"/>
      <c r="C633" s="453">
        <v>4370</v>
      </c>
      <c r="D633" s="511" t="s">
        <v>63</v>
      </c>
      <c r="E633" s="507">
        <f t="shared" si="88"/>
        <v>5790</v>
      </c>
      <c r="F633" s="512">
        <f t="shared" si="83"/>
        <v>5790</v>
      </c>
      <c r="G633" s="512"/>
      <c r="H633" s="512"/>
      <c r="I633" s="512"/>
      <c r="J633" s="512"/>
      <c r="K633" s="512"/>
      <c r="L633" s="512"/>
      <c r="M633" s="512">
        <v>5790</v>
      </c>
      <c r="N633" s="512"/>
    </row>
    <row r="634" spans="1:14" s="341" customFormat="1" ht="15">
      <c r="A634" s="452"/>
      <c r="B634" s="452"/>
      <c r="C634" s="453">
        <v>4410</v>
      </c>
      <c r="D634" s="511" t="s">
        <v>667</v>
      </c>
      <c r="E634" s="507">
        <f t="shared" si="88"/>
        <v>3630</v>
      </c>
      <c r="F634" s="512">
        <f t="shared" si="83"/>
        <v>3630</v>
      </c>
      <c r="G634" s="512"/>
      <c r="H634" s="512"/>
      <c r="I634" s="512"/>
      <c r="J634" s="512"/>
      <c r="K634" s="512"/>
      <c r="L634" s="512"/>
      <c r="M634" s="512">
        <v>3630</v>
      </c>
      <c r="N634" s="512"/>
    </row>
    <row r="635" spans="1:14" s="341" customFormat="1" ht="15">
      <c r="A635" s="452"/>
      <c r="B635" s="452"/>
      <c r="C635" s="453">
        <v>4430</v>
      </c>
      <c r="D635" s="511" t="s">
        <v>668</v>
      </c>
      <c r="E635" s="507">
        <f t="shared" si="88"/>
        <v>1130</v>
      </c>
      <c r="F635" s="512">
        <f t="shared" si="83"/>
        <v>1130</v>
      </c>
      <c r="G635" s="512"/>
      <c r="H635" s="512"/>
      <c r="I635" s="512"/>
      <c r="J635" s="512"/>
      <c r="K635" s="512"/>
      <c r="L635" s="512"/>
      <c r="M635" s="512">
        <v>1130</v>
      </c>
      <c r="N635" s="512"/>
    </row>
    <row r="636" spans="1:14" s="341" customFormat="1" ht="57" customHeight="1">
      <c r="A636" s="452"/>
      <c r="B636" s="452"/>
      <c r="C636" s="453">
        <v>4440</v>
      </c>
      <c r="D636" s="511" t="s">
        <v>669</v>
      </c>
      <c r="E636" s="507">
        <f t="shared" si="88"/>
        <v>29130</v>
      </c>
      <c r="F636" s="512">
        <f t="shared" si="83"/>
        <v>29130</v>
      </c>
      <c r="G636" s="512"/>
      <c r="H636" s="512"/>
      <c r="I636" s="512"/>
      <c r="J636" s="512"/>
      <c r="K636" s="512"/>
      <c r="L636" s="512"/>
      <c r="M636" s="512">
        <v>29130</v>
      </c>
      <c r="N636" s="512"/>
    </row>
    <row r="637" spans="1:14" s="341" customFormat="1" ht="41.25" customHeight="1">
      <c r="A637" s="452"/>
      <c r="B637" s="452"/>
      <c r="C637" s="453">
        <v>4510</v>
      </c>
      <c r="D637" s="511" t="s">
        <v>246</v>
      </c>
      <c r="E637" s="507">
        <f t="shared" si="88"/>
        <v>100</v>
      </c>
      <c r="F637" s="512">
        <f t="shared" si="83"/>
        <v>100</v>
      </c>
      <c r="G637" s="512"/>
      <c r="H637" s="512"/>
      <c r="I637" s="512"/>
      <c r="J637" s="512"/>
      <c r="K637" s="512"/>
      <c r="L637" s="512"/>
      <c r="M637" s="512">
        <v>100</v>
      </c>
      <c r="N637" s="512"/>
    </row>
    <row r="638" spans="1:14" s="341" customFormat="1" ht="47.25" customHeight="1">
      <c r="A638" s="452"/>
      <c r="B638" s="452"/>
      <c r="C638" s="453">
        <v>4700</v>
      </c>
      <c r="D638" s="511" t="s">
        <v>210</v>
      </c>
      <c r="E638" s="507">
        <f t="shared" si="88"/>
        <v>870</v>
      </c>
      <c r="F638" s="512">
        <f t="shared" si="83"/>
        <v>870</v>
      </c>
      <c r="G638" s="512"/>
      <c r="H638" s="512"/>
      <c r="I638" s="512"/>
      <c r="J638" s="512"/>
      <c r="K638" s="512"/>
      <c r="L638" s="512"/>
      <c r="M638" s="512">
        <v>870</v>
      </c>
      <c r="N638" s="512"/>
    </row>
    <row r="639" spans="1:14" s="341" customFormat="1" ht="60" customHeight="1">
      <c r="A639" s="452"/>
      <c r="B639" s="452"/>
      <c r="C639" s="453">
        <v>4740</v>
      </c>
      <c r="D639" s="511" t="s">
        <v>24</v>
      </c>
      <c r="E639" s="507">
        <f t="shared" si="88"/>
        <v>1080</v>
      </c>
      <c r="F639" s="512">
        <f t="shared" si="83"/>
        <v>1080</v>
      </c>
      <c r="G639" s="512"/>
      <c r="H639" s="512"/>
      <c r="I639" s="512"/>
      <c r="J639" s="512"/>
      <c r="K639" s="512"/>
      <c r="L639" s="512"/>
      <c r="M639" s="512">
        <v>1080</v>
      </c>
      <c r="N639" s="512"/>
    </row>
    <row r="640" spans="1:14" s="341" customFormat="1" ht="49.5" customHeight="1">
      <c r="A640" s="452"/>
      <c r="B640" s="452"/>
      <c r="C640" s="453">
        <v>4750</v>
      </c>
      <c r="D640" s="511" t="s">
        <v>64</v>
      </c>
      <c r="E640" s="507">
        <f t="shared" si="88"/>
        <v>3530</v>
      </c>
      <c r="F640" s="512">
        <f t="shared" si="83"/>
        <v>3530</v>
      </c>
      <c r="G640" s="512"/>
      <c r="H640" s="512"/>
      <c r="I640" s="512"/>
      <c r="J640" s="512"/>
      <c r="K640" s="512"/>
      <c r="L640" s="512"/>
      <c r="M640" s="512">
        <v>3530</v>
      </c>
      <c r="N640" s="512"/>
    </row>
    <row r="641" spans="1:14" s="343" customFormat="1" ht="15.75">
      <c r="A641" s="432"/>
      <c r="B641" s="442">
        <v>85410</v>
      </c>
      <c r="C641" s="443"/>
      <c r="D641" s="444" t="s">
        <v>112</v>
      </c>
      <c r="E641" s="507">
        <f t="shared" si="88"/>
        <v>916562</v>
      </c>
      <c r="F641" s="510">
        <f t="shared" si="83"/>
        <v>886562</v>
      </c>
      <c r="G641" s="510">
        <f>SUM(G642:G658)</f>
        <v>382822</v>
      </c>
      <c r="H641" s="510">
        <f aca="true" t="shared" si="93" ref="H641:N641">SUM(H642:H658)</f>
        <v>30120</v>
      </c>
      <c r="I641" s="510">
        <f t="shared" si="93"/>
        <v>73970</v>
      </c>
      <c r="J641" s="510">
        <f t="shared" si="93"/>
        <v>0</v>
      </c>
      <c r="K641" s="510">
        <f t="shared" si="93"/>
        <v>0</v>
      </c>
      <c r="L641" s="510">
        <f t="shared" si="93"/>
        <v>0</v>
      </c>
      <c r="M641" s="510">
        <f t="shared" si="93"/>
        <v>399650</v>
      </c>
      <c r="N641" s="510">
        <f t="shared" si="93"/>
        <v>30000</v>
      </c>
    </row>
    <row r="642" spans="1:14" s="341" customFormat="1" ht="25.5">
      <c r="A642" s="470"/>
      <c r="B642" s="452"/>
      <c r="C642" s="453">
        <v>3020</v>
      </c>
      <c r="D642" s="511" t="s">
        <v>211</v>
      </c>
      <c r="E642" s="507">
        <f t="shared" si="88"/>
        <v>22480</v>
      </c>
      <c r="F642" s="512">
        <f t="shared" si="83"/>
        <v>22480</v>
      </c>
      <c r="G642" s="512"/>
      <c r="H642" s="512"/>
      <c r="I642" s="512"/>
      <c r="J642" s="512"/>
      <c r="K642" s="512"/>
      <c r="L642" s="512"/>
      <c r="M642" s="512">
        <v>22480</v>
      </c>
      <c r="N642" s="512"/>
    </row>
    <row r="643" spans="1:14" s="341" customFormat="1" ht="25.5">
      <c r="A643" s="470"/>
      <c r="B643" s="452"/>
      <c r="C643" s="453">
        <v>4010</v>
      </c>
      <c r="D643" s="511" t="s">
        <v>653</v>
      </c>
      <c r="E643" s="507">
        <f t="shared" si="88"/>
        <v>382822</v>
      </c>
      <c r="F643" s="512">
        <f t="shared" si="83"/>
        <v>382822</v>
      </c>
      <c r="G643" s="512">
        <v>382822</v>
      </c>
      <c r="H643" s="512"/>
      <c r="I643" s="512"/>
      <c r="J643" s="512"/>
      <c r="K643" s="512"/>
      <c r="L643" s="512"/>
      <c r="M643" s="512"/>
      <c r="N643" s="512"/>
    </row>
    <row r="644" spans="1:14" s="341" customFormat="1" ht="37.5" customHeight="1">
      <c r="A644" s="470"/>
      <c r="B644" s="452"/>
      <c r="C644" s="453">
        <v>4040</v>
      </c>
      <c r="D644" s="511" t="s">
        <v>654</v>
      </c>
      <c r="E644" s="507">
        <f t="shared" si="88"/>
        <v>30120</v>
      </c>
      <c r="F644" s="512">
        <f t="shared" si="83"/>
        <v>30120</v>
      </c>
      <c r="G644" s="512"/>
      <c r="H644" s="512">
        <v>30120</v>
      </c>
      <c r="I644" s="512"/>
      <c r="J644" s="512"/>
      <c r="K644" s="512"/>
      <c r="L644" s="512"/>
      <c r="M644" s="512"/>
      <c r="N644" s="512"/>
    </row>
    <row r="645" spans="1:14" s="341" customFormat="1" ht="25.5">
      <c r="A645" s="470"/>
      <c r="B645" s="452"/>
      <c r="C645" s="453">
        <v>4110</v>
      </c>
      <c r="D645" s="511" t="s">
        <v>59</v>
      </c>
      <c r="E645" s="507">
        <f t="shared" si="88"/>
        <v>63670</v>
      </c>
      <c r="F645" s="512">
        <f t="shared" si="83"/>
        <v>63670</v>
      </c>
      <c r="G645" s="512"/>
      <c r="H645" s="512"/>
      <c r="I645" s="512">
        <v>63670</v>
      </c>
      <c r="J645" s="512"/>
      <c r="K645" s="512"/>
      <c r="L645" s="512"/>
      <c r="M645" s="512"/>
      <c r="N645" s="512"/>
    </row>
    <row r="646" spans="1:14" s="341" customFormat="1" ht="15">
      <c r="A646" s="470"/>
      <c r="B646" s="452"/>
      <c r="C646" s="453">
        <v>4120</v>
      </c>
      <c r="D646" s="511" t="s">
        <v>656</v>
      </c>
      <c r="E646" s="507">
        <f t="shared" si="88"/>
        <v>10300</v>
      </c>
      <c r="F646" s="512">
        <f t="shared" si="83"/>
        <v>10300</v>
      </c>
      <c r="G646" s="512"/>
      <c r="H646" s="512"/>
      <c r="I646" s="512">
        <v>10300</v>
      </c>
      <c r="J646" s="512"/>
      <c r="K646" s="512"/>
      <c r="L646" s="512"/>
      <c r="M646" s="512"/>
      <c r="N646" s="512"/>
    </row>
    <row r="647" spans="1:14" s="341" customFormat="1" ht="48" customHeight="1">
      <c r="A647" s="470"/>
      <c r="B647" s="452"/>
      <c r="C647" s="453">
        <v>4170</v>
      </c>
      <c r="D647" s="511" t="s">
        <v>94</v>
      </c>
      <c r="E647" s="507">
        <f t="shared" si="88"/>
        <v>5100</v>
      </c>
      <c r="F647" s="512">
        <f t="shared" si="83"/>
        <v>5100</v>
      </c>
      <c r="G647" s="512"/>
      <c r="H647" s="512"/>
      <c r="I647" s="512"/>
      <c r="J647" s="512"/>
      <c r="K647" s="512"/>
      <c r="L647" s="512"/>
      <c r="M647" s="512">
        <v>5100</v>
      </c>
      <c r="N647" s="512"/>
    </row>
    <row r="648" spans="1:14" s="341" customFormat="1" ht="25.5">
      <c r="A648" s="470"/>
      <c r="B648" s="452"/>
      <c r="C648" s="453">
        <v>4210</v>
      </c>
      <c r="D648" s="511" t="s">
        <v>658</v>
      </c>
      <c r="E648" s="507">
        <f t="shared" si="88"/>
        <v>284940</v>
      </c>
      <c r="F648" s="512">
        <f t="shared" si="83"/>
        <v>284940</v>
      </c>
      <c r="G648" s="512"/>
      <c r="H648" s="512"/>
      <c r="I648" s="512"/>
      <c r="J648" s="512"/>
      <c r="K648" s="512"/>
      <c r="L648" s="512"/>
      <c r="M648" s="512">
        <v>284940</v>
      </c>
      <c r="N648" s="512"/>
    </row>
    <row r="649" spans="1:14" s="341" customFormat="1" ht="15">
      <c r="A649" s="470"/>
      <c r="B649" s="452"/>
      <c r="C649" s="453">
        <v>4260</v>
      </c>
      <c r="D649" s="511" t="s">
        <v>659</v>
      </c>
      <c r="E649" s="507">
        <f t="shared" si="88"/>
        <v>36240</v>
      </c>
      <c r="F649" s="512">
        <f t="shared" si="83"/>
        <v>36240</v>
      </c>
      <c r="G649" s="512"/>
      <c r="H649" s="512"/>
      <c r="I649" s="512"/>
      <c r="J649" s="512"/>
      <c r="K649" s="512"/>
      <c r="L649" s="512"/>
      <c r="M649" s="512">
        <v>36240</v>
      </c>
      <c r="N649" s="512"/>
    </row>
    <row r="650" spans="1:14" s="341" customFormat="1" ht="15">
      <c r="A650" s="470"/>
      <c r="B650" s="452"/>
      <c r="C650" s="453">
        <v>4270</v>
      </c>
      <c r="D650" s="511" t="s">
        <v>660</v>
      </c>
      <c r="E650" s="507">
        <f t="shared" si="88"/>
        <v>5190</v>
      </c>
      <c r="F650" s="512">
        <f t="shared" si="83"/>
        <v>5190</v>
      </c>
      <c r="G650" s="512"/>
      <c r="H650" s="512"/>
      <c r="I650" s="512"/>
      <c r="J650" s="512"/>
      <c r="K650" s="512"/>
      <c r="L650" s="512"/>
      <c r="M650" s="512">
        <v>5190</v>
      </c>
      <c r="N650" s="512"/>
    </row>
    <row r="651" spans="1:14" s="341" customFormat="1" ht="15">
      <c r="A651" s="470"/>
      <c r="B651" s="452"/>
      <c r="C651" s="453">
        <v>4280</v>
      </c>
      <c r="D651" s="511" t="s">
        <v>661</v>
      </c>
      <c r="E651" s="507">
        <f t="shared" si="88"/>
        <v>270</v>
      </c>
      <c r="F651" s="512">
        <f t="shared" si="83"/>
        <v>270</v>
      </c>
      <c r="G651" s="512"/>
      <c r="H651" s="512"/>
      <c r="I651" s="512"/>
      <c r="J651" s="512"/>
      <c r="K651" s="512"/>
      <c r="L651" s="512"/>
      <c r="M651" s="512">
        <v>270</v>
      </c>
      <c r="N651" s="512"/>
    </row>
    <row r="652" spans="1:14" s="341" customFormat="1" ht="51" customHeight="1">
      <c r="A652" s="470"/>
      <c r="B652" s="452"/>
      <c r="C652" s="453">
        <v>4300</v>
      </c>
      <c r="D652" s="511" t="s">
        <v>32</v>
      </c>
      <c r="E652" s="507">
        <f t="shared" si="88"/>
        <v>20550</v>
      </c>
      <c r="F652" s="512">
        <f t="shared" si="83"/>
        <v>20550</v>
      </c>
      <c r="G652" s="512"/>
      <c r="H652" s="512"/>
      <c r="I652" s="512"/>
      <c r="J652" s="512"/>
      <c r="K652" s="512"/>
      <c r="L652" s="512"/>
      <c r="M652" s="512">
        <v>20550</v>
      </c>
      <c r="N652" s="512"/>
    </row>
    <row r="653" spans="1:14" s="341" customFormat="1" ht="38.25">
      <c r="A653" s="470"/>
      <c r="B653" s="452"/>
      <c r="C653" s="453">
        <v>4360</v>
      </c>
      <c r="D653" s="511" t="s">
        <v>70</v>
      </c>
      <c r="E653" s="507">
        <f aca="true" t="shared" si="94" ref="E653:E708">F653+N653</f>
        <v>990</v>
      </c>
      <c r="F653" s="512">
        <f t="shared" si="83"/>
        <v>990</v>
      </c>
      <c r="G653" s="512"/>
      <c r="H653" s="512"/>
      <c r="I653" s="512"/>
      <c r="J653" s="512"/>
      <c r="K653" s="512"/>
      <c r="L653" s="512"/>
      <c r="M653" s="512">
        <v>990</v>
      </c>
      <c r="N653" s="512"/>
    </row>
    <row r="654" spans="1:14" s="341" customFormat="1" ht="38.25">
      <c r="A654" s="470"/>
      <c r="B654" s="452"/>
      <c r="C654" s="453">
        <v>4370</v>
      </c>
      <c r="D654" s="511" t="s">
        <v>63</v>
      </c>
      <c r="E654" s="507">
        <f t="shared" si="94"/>
        <v>1720</v>
      </c>
      <c r="F654" s="512">
        <f t="shared" si="83"/>
        <v>1720</v>
      </c>
      <c r="G654" s="512"/>
      <c r="H654" s="512"/>
      <c r="I654" s="512"/>
      <c r="J654" s="512"/>
      <c r="K654" s="512"/>
      <c r="L654" s="512"/>
      <c r="M654" s="512">
        <v>1720</v>
      </c>
      <c r="N654" s="512"/>
    </row>
    <row r="655" spans="1:14" s="341" customFormat="1" ht="15">
      <c r="A655" s="470"/>
      <c r="B655" s="452"/>
      <c r="C655" s="453">
        <v>4410</v>
      </c>
      <c r="D655" s="511" t="s">
        <v>667</v>
      </c>
      <c r="E655" s="507">
        <f t="shared" si="94"/>
        <v>410</v>
      </c>
      <c r="F655" s="512">
        <f t="shared" si="83"/>
        <v>410</v>
      </c>
      <c r="G655" s="512"/>
      <c r="H655" s="512"/>
      <c r="I655" s="512"/>
      <c r="J655" s="512"/>
      <c r="K655" s="512"/>
      <c r="L655" s="512"/>
      <c r="M655" s="512">
        <v>410</v>
      </c>
      <c r="N655" s="512"/>
    </row>
    <row r="656" spans="1:14" s="341" customFormat="1" ht="15">
      <c r="A656" s="470"/>
      <c r="B656" s="452"/>
      <c r="C656" s="453">
        <v>4430</v>
      </c>
      <c r="D656" s="511" t="s">
        <v>668</v>
      </c>
      <c r="E656" s="507">
        <f t="shared" si="94"/>
        <v>560</v>
      </c>
      <c r="F656" s="512">
        <f t="shared" si="83"/>
        <v>560</v>
      </c>
      <c r="G656" s="512"/>
      <c r="H656" s="512"/>
      <c r="I656" s="512"/>
      <c r="J656" s="512"/>
      <c r="K656" s="512"/>
      <c r="L656" s="512"/>
      <c r="M656" s="512">
        <v>560</v>
      </c>
      <c r="N656" s="512"/>
    </row>
    <row r="657" spans="1:14" s="341" customFormat="1" ht="46.5" customHeight="1">
      <c r="A657" s="470"/>
      <c r="B657" s="452"/>
      <c r="C657" s="453">
        <v>4440</v>
      </c>
      <c r="D657" s="511" t="s">
        <v>669</v>
      </c>
      <c r="E657" s="507">
        <f t="shared" si="94"/>
        <v>21200</v>
      </c>
      <c r="F657" s="512">
        <f aca="true" t="shared" si="95" ref="F657:F671">SUM(G657:M657)</f>
        <v>21200</v>
      </c>
      <c r="G657" s="512"/>
      <c r="H657" s="512"/>
      <c r="I657" s="512"/>
      <c r="J657" s="512"/>
      <c r="K657" s="512"/>
      <c r="L657" s="512"/>
      <c r="M657" s="512">
        <v>21200</v>
      </c>
      <c r="N657" s="512"/>
    </row>
    <row r="658" spans="1:14" s="341" customFormat="1" ht="54" customHeight="1">
      <c r="A658" s="435"/>
      <c r="B658" s="435"/>
      <c r="C658" s="453">
        <v>6050</v>
      </c>
      <c r="D658" s="517" t="s">
        <v>3</v>
      </c>
      <c r="E658" s="507">
        <f t="shared" si="94"/>
        <v>30000</v>
      </c>
      <c r="F658" s="512">
        <f t="shared" si="95"/>
        <v>0</v>
      </c>
      <c r="G658" s="512"/>
      <c r="H658" s="512"/>
      <c r="I658" s="512"/>
      <c r="J658" s="512"/>
      <c r="K658" s="512"/>
      <c r="L658" s="512"/>
      <c r="M658" s="512"/>
      <c r="N658" s="512">
        <v>30000</v>
      </c>
    </row>
    <row r="659" spans="1:14" s="341" customFormat="1" ht="38.25" hidden="1">
      <c r="A659" s="435"/>
      <c r="B659" s="543">
        <v>85413</v>
      </c>
      <c r="C659" s="446"/>
      <c r="D659" s="544" t="s">
        <v>37</v>
      </c>
      <c r="E659" s="507">
        <f t="shared" si="94"/>
        <v>0</v>
      </c>
      <c r="F659" s="510">
        <f t="shared" si="95"/>
        <v>0</v>
      </c>
      <c r="G659" s="510">
        <f aca="true" t="shared" si="96" ref="G659:N659">SUM(G660:G663)</f>
        <v>0</v>
      </c>
      <c r="H659" s="510">
        <f t="shared" si="96"/>
        <v>0</v>
      </c>
      <c r="I659" s="510">
        <f t="shared" si="96"/>
        <v>0</v>
      </c>
      <c r="J659" s="510">
        <f t="shared" si="96"/>
        <v>0</v>
      </c>
      <c r="K659" s="510">
        <f t="shared" si="96"/>
        <v>0</v>
      </c>
      <c r="L659" s="510">
        <f t="shared" si="96"/>
        <v>0</v>
      </c>
      <c r="M659" s="510">
        <f t="shared" si="96"/>
        <v>0</v>
      </c>
      <c r="N659" s="510">
        <f t="shared" si="96"/>
        <v>0</v>
      </c>
    </row>
    <row r="660" spans="1:14" s="341" customFormat="1" ht="25.5" hidden="1">
      <c r="A660" s="435"/>
      <c r="B660" s="435"/>
      <c r="C660" s="453">
        <v>4170</v>
      </c>
      <c r="D660" s="517" t="s">
        <v>44</v>
      </c>
      <c r="E660" s="507">
        <f t="shared" si="94"/>
        <v>0</v>
      </c>
      <c r="F660" s="512">
        <f t="shared" si="95"/>
        <v>0</v>
      </c>
      <c r="G660" s="512"/>
      <c r="H660" s="512"/>
      <c r="I660" s="512"/>
      <c r="J660" s="512"/>
      <c r="K660" s="512"/>
      <c r="L660" s="512"/>
      <c r="M660" s="512"/>
      <c r="N660" s="512"/>
    </row>
    <row r="661" spans="1:14" s="341" customFormat="1" ht="25.5" hidden="1">
      <c r="A661" s="435"/>
      <c r="B661" s="435"/>
      <c r="C661" s="453">
        <v>4210</v>
      </c>
      <c r="D661" s="517" t="s">
        <v>658</v>
      </c>
      <c r="E661" s="507">
        <f t="shared" si="94"/>
        <v>0</v>
      </c>
      <c r="F661" s="512">
        <f t="shared" si="95"/>
        <v>0</v>
      </c>
      <c r="G661" s="512"/>
      <c r="H661" s="512"/>
      <c r="I661" s="512"/>
      <c r="J661" s="512"/>
      <c r="K661" s="512"/>
      <c r="L661" s="512"/>
      <c r="M661" s="512"/>
      <c r="N661" s="512"/>
    </row>
    <row r="662" spans="1:14" s="341" customFormat="1" ht="15" hidden="1">
      <c r="A662" s="435"/>
      <c r="B662" s="435"/>
      <c r="C662" s="453">
        <v>4300</v>
      </c>
      <c r="D662" s="517" t="s">
        <v>32</v>
      </c>
      <c r="E662" s="507">
        <f t="shared" si="94"/>
        <v>0</v>
      </c>
      <c r="F662" s="512">
        <f t="shared" si="95"/>
        <v>0</v>
      </c>
      <c r="G662" s="512"/>
      <c r="H662" s="512"/>
      <c r="I662" s="512"/>
      <c r="J662" s="512"/>
      <c r="K662" s="512"/>
      <c r="L662" s="512"/>
      <c r="M662" s="512"/>
      <c r="N662" s="512"/>
    </row>
    <row r="663" spans="1:14" s="341" customFormat="1" ht="15" hidden="1">
      <c r="A663" s="435"/>
      <c r="B663" s="435"/>
      <c r="C663" s="453">
        <v>4430</v>
      </c>
      <c r="D663" s="517" t="s">
        <v>668</v>
      </c>
      <c r="E663" s="507">
        <f t="shared" si="94"/>
        <v>0</v>
      </c>
      <c r="F663" s="512">
        <f t="shared" si="95"/>
        <v>0</v>
      </c>
      <c r="G663" s="512"/>
      <c r="H663" s="512"/>
      <c r="I663" s="512"/>
      <c r="J663" s="512"/>
      <c r="K663" s="512"/>
      <c r="L663" s="512"/>
      <c r="M663" s="512"/>
      <c r="N663" s="512"/>
    </row>
    <row r="664" spans="1:14" s="343" customFormat="1" ht="25.5">
      <c r="A664" s="432"/>
      <c r="B664" s="442">
        <v>85415</v>
      </c>
      <c r="C664" s="443"/>
      <c r="D664" s="444" t="s">
        <v>113</v>
      </c>
      <c r="E664" s="507">
        <f t="shared" si="94"/>
        <v>79000</v>
      </c>
      <c r="F664" s="510">
        <f t="shared" si="95"/>
        <v>79000</v>
      </c>
      <c r="G664" s="510">
        <f aca="true" t="shared" si="97" ref="G664:N664">SUM(G665:G665)</f>
        <v>0</v>
      </c>
      <c r="H664" s="510">
        <f t="shared" si="97"/>
        <v>0</v>
      </c>
      <c r="I664" s="510">
        <f t="shared" si="97"/>
        <v>0</v>
      </c>
      <c r="J664" s="510">
        <f t="shared" si="97"/>
        <v>0</v>
      </c>
      <c r="K664" s="510">
        <f t="shared" si="97"/>
        <v>0</v>
      </c>
      <c r="L664" s="510">
        <f t="shared" si="97"/>
        <v>0</v>
      </c>
      <c r="M664" s="510">
        <f>SUM(M665:M665)</f>
        <v>79000</v>
      </c>
      <c r="N664" s="510">
        <f t="shared" si="97"/>
        <v>0</v>
      </c>
    </row>
    <row r="665" spans="1:14" s="341" customFormat="1" ht="47.25" customHeight="1">
      <c r="A665" s="470"/>
      <c r="B665" s="452"/>
      <c r="C665" s="453">
        <v>3240</v>
      </c>
      <c r="D665" s="511" t="s">
        <v>114</v>
      </c>
      <c r="E665" s="507">
        <f t="shared" si="94"/>
        <v>79000</v>
      </c>
      <c r="F665" s="512">
        <f t="shared" si="95"/>
        <v>79000</v>
      </c>
      <c r="G665" s="512"/>
      <c r="H665" s="512"/>
      <c r="I665" s="512"/>
      <c r="J665" s="512"/>
      <c r="K665" s="512"/>
      <c r="L665" s="512"/>
      <c r="M665" s="512">
        <v>79000</v>
      </c>
      <c r="N665" s="512"/>
    </row>
    <row r="666" spans="1:14" s="343" customFormat="1" ht="25.5">
      <c r="A666" s="432"/>
      <c r="B666" s="442">
        <v>85446</v>
      </c>
      <c r="C666" s="443"/>
      <c r="D666" s="444" t="s">
        <v>74</v>
      </c>
      <c r="E666" s="507">
        <f t="shared" si="94"/>
        <v>8770</v>
      </c>
      <c r="F666" s="510">
        <f t="shared" si="95"/>
        <v>8770</v>
      </c>
      <c r="G666" s="510">
        <f>SUM(G667:G668)</f>
        <v>0</v>
      </c>
      <c r="H666" s="510">
        <f aca="true" t="shared" si="98" ref="H666:N666">SUM(H667:H668)</f>
        <v>0</v>
      </c>
      <c r="I666" s="510">
        <f t="shared" si="98"/>
        <v>0</v>
      </c>
      <c r="J666" s="510">
        <f t="shared" si="98"/>
        <v>0</v>
      </c>
      <c r="K666" s="510">
        <f t="shared" si="98"/>
        <v>0</v>
      </c>
      <c r="L666" s="510">
        <f t="shared" si="98"/>
        <v>0</v>
      </c>
      <c r="M666" s="510">
        <f t="shared" si="98"/>
        <v>8770</v>
      </c>
      <c r="N666" s="510">
        <f t="shared" si="98"/>
        <v>0</v>
      </c>
    </row>
    <row r="667" spans="1:14" s="341" customFormat="1" ht="15">
      <c r="A667" s="470"/>
      <c r="B667" s="452"/>
      <c r="C667" s="453">
        <v>4300</v>
      </c>
      <c r="D667" s="511" t="s">
        <v>32</v>
      </c>
      <c r="E667" s="507">
        <f t="shared" si="94"/>
        <v>7180</v>
      </c>
      <c r="F667" s="512">
        <f t="shared" si="95"/>
        <v>7180</v>
      </c>
      <c r="G667" s="512"/>
      <c r="H667" s="512"/>
      <c r="I667" s="512"/>
      <c r="J667" s="512"/>
      <c r="K667" s="512"/>
      <c r="L667" s="512"/>
      <c r="M667" s="512">
        <v>7180</v>
      </c>
      <c r="N667" s="512"/>
    </row>
    <row r="668" spans="1:14" s="341" customFormat="1" ht="15">
      <c r="A668" s="470"/>
      <c r="B668" s="452"/>
      <c r="C668" s="453">
        <v>4410</v>
      </c>
      <c r="D668" s="511" t="s">
        <v>667</v>
      </c>
      <c r="E668" s="507">
        <f t="shared" si="94"/>
        <v>1590</v>
      </c>
      <c r="F668" s="512">
        <f t="shared" si="95"/>
        <v>1590</v>
      </c>
      <c r="G668" s="512"/>
      <c r="H668" s="512"/>
      <c r="I668" s="512"/>
      <c r="J668" s="512"/>
      <c r="K668" s="512"/>
      <c r="L668" s="512"/>
      <c r="M668" s="512">
        <v>1590</v>
      </c>
      <c r="N668" s="512"/>
    </row>
    <row r="669" spans="1:14" s="343" customFormat="1" ht="15.75">
      <c r="A669" s="432"/>
      <c r="B669" s="442">
        <v>85495</v>
      </c>
      <c r="C669" s="443"/>
      <c r="D669" s="444" t="s">
        <v>49</v>
      </c>
      <c r="E669" s="507">
        <f t="shared" si="94"/>
        <v>8190</v>
      </c>
      <c r="F669" s="510">
        <f t="shared" si="95"/>
        <v>8190</v>
      </c>
      <c r="G669" s="510">
        <f>SUM(G670:G673)</f>
        <v>0</v>
      </c>
      <c r="H669" s="510">
        <f aca="true" t="shared" si="99" ref="H669:N669">SUM(H670:H673)</f>
        <v>0</v>
      </c>
      <c r="I669" s="510">
        <f t="shared" si="99"/>
        <v>0</v>
      </c>
      <c r="J669" s="510">
        <f t="shared" si="99"/>
        <v>0</v>
      </c>
      <c r="K669" s="510">
        <f t="shared" si="99"/>
        <v>0</v>
      </c>
      <c r="L669" s="510">
        <f t="shared" si="99"/>
        <v>0</v>
      </c>
      <c r="M669" s="510">
        <f t="shared" si="99"/>
        <v>8190</v>
      </c>
      <c r="N669" s="510">
        <f t="shared" si="99"/>
        <v>0</v>
      </c>
    </row>
    <row r="670" spans="1:14" s="341" customFormat="1" ht="45.75" customHeight="1">
      <c r="A670" s="470"/>
      <c r="B670" s="452"/>
      <c r="C670" s="453">
        <v>4440</v>
      </c>
      <c r="D670" s="511" t="s">
        <v>669</v>
      </c>
      <c r="E670" s="507">
        <f t="shared" si="94"/>
        <v>8190</v>
      </c>
      <c r="F670" s="512">
        <f t="shared" si="95"/>
        <v>8190</v>
      </c>
      <c r="G670" s="512"/>
      <c r="H670" s="512"/>
      <c r="I670" s="512"/>
      <c r="J670" s="512"/>
      <c r="K670" s="512"/>
      <c r="L670" s="512"/>
      <c r="M670" s="512">
        <v>8190</v>
      </c>
      <c r="N670" s="512"/>
    </row>
    <row r="671" spans="1:14" s="341" customFormat="1" ht="25.5" hidden="1">
      <c r="A671" s="452"/>
      <c r="B671" s="452"/>
      <c r="C671" s="453">
        <v>4010</v>
      </c>
      <c r="D671" s="511" t="s">
        <v>653</v>
      </c>
      <c r="E671" s="507">
        <f t="shared" si="94"/>
        <v>0</v>
      </c>
      <c r="F671" s="512">
        <f t="shared" si="95"/>
        <v>0</v>
      </c>
      <c r="G671" s="512"/>
      <c r="H671" s="512"/>
      <c r="I671" s="512"/>
      <c r="J671" s="512"/>
      <c r="K671" s="512"/>
      <c r="L671" s="512"/>
      <c r="M671" s="512"/>
      <c r="N671" s="512"/>
    </row>
    <row r="672" spans="1:14" s="341" customFormat="1" ht="25.5" hidden="1">
      <c r="A672" s="452"/>
      <c r="B672" s="452"/>
      <c r="C672" s="453">
        <v>4110</v>
      </c>
      <c r="D672" s="511" t="s">
        <v>59</v>
      </c>
      <c r="E672" s="507">
        <f t="shared" si="94"/>
        <v>0</v>
      </c>
      <c r="F672" s="512">
        <f>SUM(G672:M672)</f>
        <v>0</v>
      </c>
      <c r="G672" s="512"/>
      <c r="H672" s="512"/>
      <c r="I672" s="512"/>
      <c r="J672" s="512"/>
      <c r="K672" s="512"/>
      <c r="L672" s="512"/>
      <c r="M672" s="512"/>
      <c r="N672" s="512"/>
    </row>
    <row r="673" spans="1:14" s="341" customFormat="1" ht="15" hidden="1">
      <c r="A673" s="452"/>
      <c r="B673" s="452"/>
      <c r="C673" s="453">
        <v>4120</v>
      </c>
      <c r="D673" s="511" t="s">
        <v>656</v>
      </c>
      <c r="E673" s="507">
        <f t="shared" si="94"/>
        <v>0</v>
      </c>
      <c r="F673" s="512">
        <f>SUM(G673:M673)</f>
        <v>0</v>
      </c>
      <c r="G673" s="512"/>
      <c r="H673" s="512"/>
      <c r="I673" s="512"/>
      <c r="J673" s="512"/>
      <c r="K673" s="512"/>
      <c r="L673" s="512"/>
      <c r="M673" s="512"/>
      <c r="N673" s="512"/>
    </row>
    <row r="674" spans="1:14" s="341" customFormat="1" ht="25.5" hidden="1">
      <c r="A674" s="452"/>
      <c r="B674" s="452"/>
      <c r="C674" s="453">
        <v>4010</v>
      </c>
      <c r="D674" s="511" t="s">
        <v>338</v>
      </c>
      <c r="E674" s="507">
        <f t="shared" si="94"/>
        <v>0</v>
      </c>
      <c r="F674" s="512"/>
      <c r="G674" s="512"/>
      <c r="H674" s="512"/>
      <c r="I674" s="512"/>
      <c r="J674" s="512"/>
      <c r="K674" s="512"/>
      <c r="L674" s="512"/>
      <c r="M674" s="512"/>
      <c r="N674" s="512"/>
    </row>
    <row r="675" spans="1:14" s="341" customFormat="1" ht="25.5" hidden="1">
      <c r="A675" s="452"/>
      <c r="B675" s="452"/>
      <c r="C675" s="453">
        <v>4110</v>
      </c>
      <c r="D675" s="511" t="s">
        <v>59</v>
      </c>
      <c r="E675" s="507">
        <f t="shared" si="94"/>
        <v>0</v>
      </c>
      <c r="F675" s="512"/>
      <c r="G675" s="512"/>
      <c r="H675" s="512"/>
      <c r="I675" s="512"/>
      <c r="J675" s="512"/>
      <c r="K675" s="512"/>
      <c r="L675" s="512"/>
      <c r="M675" s="512"/>
      <c r="N675" s="512"/>
    </row>
    <row r="676" spans="1:14" s="341" customFormat="1" ht="15" hidden="1">
      <c r="A676" s="452"/>
      <c r="B676" s="452"/>
      <c r="C676" s="453">
        <v>4120</v>
      </c>
      <c r="D676" s="511" t="s">
        <v>656</v>
      </c>
      <c r="E676" s="507">
        <f t="shared" si="94"/>
        <v>0</v>
      </c>
      <c r="F676" s="512"/>
      <c r="G676" s="512"/>
      <c r="H676" s="512"/>
      <c r="I676" s="512"/>
      <c r="J676" s="512"/>
      <c r="K676" s="512"/>
      <c r="L676" s="512"/>
      <c r="M676" s="512"/>
      <c r="N676" s="512"/>
    </row>
    <row r="677" spans="1:14" s="342" customFormat="1" ht="38.25">
      <c r="A677" s="545">
        <v>921</v>
      </c>
      <c r="B677" s="435"/>
      <c r="C677" s="436"/>
      <c r="D677" s="437" t="s">
        <v>116</v>
      </c>
      <c r="E677" s="507">
        <f t="shared" si="94"/>
        <v>133000</v>
      </c>
      <c r="F677" s="508">
        <f aca="true" t="shared" si="100" ref="F677:F707">SUM(G677:M677)</f>
        <v>133000</v>
      </c>
      <c r="G677" s="508">
        <f aca="true" t="shared" si="101" ref="G677:N677">SUM(G680+G683+G678)</f>
        <v>0</v>
      </c>
      <c r="H677" s="508">
        <f t="shared" si="101"/>
        <v>0</v>
      </c>
      <c r="I677" s="508">
        <f t="shared" si="101"/>
        <v>0</v>
      </c>
      <c r="J677" s="508">
        <f t="shared" si="101"/>
        <v>78000</v>
      </c>
      <c r="K677" s="508">
        <f t="shared" si="101"/>
        <v>0</v>
      </c>
      <c r="L677" s="508">
        <f t="shared" si="101"/>
        <v>0</v>
      </c>
      <c r="M677" s="508">
        <f t="shared" si="101"/>
        <v>55000</v>
      </c>
      <c r="N677" s="508">
        <f t="shared" si="101"/>
        <v>0</v>
      </c>
    </row>
    <row r="678" spans="1:14" s="343" customFormat="1" ht="25.5">
      <c r="A678" s="442"/>
      <c r="B678" s="442">
        <v>92108</v>
      </c>
      <c r="C678" s="443"/>
      <c r="D678" s="444" t="s">
        <v>424</v>
      </c>
      <c r="E678" s="507">
        <f t="shared" si="94"/>
        <v>5000</v>
      </c>
      <c r="F678" s="510">
        <f>SUM(G678:M678)</f>
        <v>5000</v>
      </c>
      <c r="G678" s="510">
        <f aca="true" t="shared" si="102" ref="G678:N678">SUM(G679:G679)</f>
        <v>0</v>
      </c>
      <c r="H678" s="510">
        <f t="shared" si="102"/>
        <v>0</v>
      </c>
      <c r="I678" s="510">
        <f t="shared" si="102"/>
        <v>0</v>
      </c>
      <c r="J678" s="510">
        <f t="shared" si="102"/>
        <v>5000</v>
      </c>
      <c r="K678" s="510">
        <f t="shared" si="102"/>
        <v>0</v>
      </c>
      <c r="L678" s="510">
        <f t="shared" si="102"/>
        <v>0</v>
      </c>
      <c r="M678" s="510">
        <f t="shared" si="102"/>
        <v>0</v>
      </c>
      <c r="N678" s="510">
        <f t="shared" si="102"/>
        <v>0</v>
      </c>
    </row>
    <row r="679" spans="1:14" s="341" customFormat="1" ht="63.75">
      <c r="A679" s="452"/>
      <c r="B679" s="452"/>
      <c r="C679" s="453">
        <v>2820</v>
      </c>
      <c r="D679" s="511" t="s">
        <v>353</v>
      </c>
      <c r="E679" s="507">
        <f t="shared" si="94"/>
        <v>5000</v>
      </c>
      <c r="F679" s="512">
        <f>SUM(G679:M679)</f>
        <v>5000</v>
      </c>
      <c r="G679" s="512"/>
      <c r="H679" s="512"/>
      <c r="I679" s="512"/>
      <c r="J679" s="512">
        <v>5000</v>
      </c>
      <c r="K679" s="512"/>
      <c r="L679" s="512"/>
      <c r="M679" s="512"/>
      <c r="N679" s="512"/>
    </row>
    <row r="680" spans="1:14" s="343" customFormat="1" ht="15.75">
      <c r="A680" s="442"/>
      <c r="B680" s="442">
        <v>92116</v>
      </c>
      <c r="C680" s="443"/>
      <c r="D680" s="444" t="s">
        <v>117</v>
      </c>
      <c r="E680" s="507">
        <f t="shared" si="94"/>
        <v>64000</v>
      </c>
      <c r="F680" s="510">
        <f t="shared" si="100"/>
        <v>64000</v>
      </c>
      <c r="G680" s="510">
        <f aca="true" t="shared" si="103" ref="G680:N680">SUM(G681:G682)</f>
        <v>0</v>
      </c>
      <c r="H680" s="510">
        <f t="shared" si="103"/>
        <v>0</v>
      </c>
      <c r="I680" s="510">
        <f t="shared" si="103"/>
        <v>0</v>
      </c>
      <c r="J680" s="510">
        <f t="shared" si="103"/>
        <v>64000</v>
      </c>
      <c r="K680" s="510">
        <f t="shared" si="103"/>
        <v>0</v>
      </c>
      <c r="L680" s="510">
        <f t="shared" si="103"/>
        <v>0</v>
      </c>
      <c r="M680" s="510">
        <f t="shared" si="103"/>
        <v>0</v>
      </c>
      <c r="N680" s="510">
        <f t="shared" si="103"/>
        <v>0</v>
      </c>
    </row>
    <row r="681" spans="1:14" s="341" customFormat="1" ht="91.5" customHeight="1">
      <c r="A681" s="452"/>
      <c r="B681" s="452"/>
      <c r="C681" s="453">
        <v>2310</v>
      </c>
      <c r="D681" s="511" t="s">
        <v>118</v>
      </c>
      <c r="E681" s="507">
        <f t="shared" si="94"/>
        <v>64000</v>
      </c>
      <c r="F681" s="512">
        <f t="shared" si="100"/>
        <v>64000</v>
      </c>
      <c r="G681" s="512"/>
      <c r="H681" s="512"/>
      <c r="I681" s="512"/>
      <c r="J681" s="512">
        <v>64000</v>
      </c>
      <c r="K681" s="512"/>
      <c r="L681" s="512"/>
      <c r="M681" s="512"/>
      <c r="N681" s="512"/>
    </row>
    <row r="682" spans="1:14" s="341" customFormat="1" ht="39.75" customHeight="1" hidden="1">
      <c r="A682" s="452"/>
      <c r="B682" s="452"/>
      <c r="C682" s="453">
        <v>4210</v>
      </c>
      <c r="D682" s="511" t="s">
        <v>248</v>
      </c>
      <c r="E682" s="507">
        <f t="shared" si="94"/>
        <v>0</v>
      </c>
      <c r="F682" s="512">
        <f>SUM(G682:M682)</f>
        <v>0</v>
      </c>
      <c r="G682" s="512"/>
      <c r="H682" s="512"/>
      <c r="I682" s="512"/>
      <c r="J682" s="512"/>
      <c r="K682" s="512"/>
      <c r="L682" s="512"/>
      <c r="M682" s="512"/>
      <c r="N682" s="512"/>
    </row>
    <row r="683" spans="1:14" s="343" customFormat="1" ht="15.75">
      <c r="A683" s="442"/>
      <c r="B683" s="442">
        <v>92195</v>
      </c>
      <c r="C683" s="443"/>
      <c r="D683" s="444" t="s">
        <v>49</v>
      </c>
      <c r="E683" s="507">
        <f t="shared" si="94"/>
        <v>64000</v>
      </c>
      <c r="F683" s="510">
        <f t="shared" si="100"/>
        <v>64000</v>
      </c>
      <c r="G683" s="510">
        <f>SUM(G684:G694)</f>
        <v>0</v>
      </c>
      <c r="H683" s="510">
        <f aca="true" t="shared" si="104" ref="H683:N683">SUM(H684:H694)</f>
        <v>0</v>
      </c>
      <c r="I683" s="510">
        <f t="shared" si="104"/>
        <v>0</v>
      </c>
      <c r="J683" s="510">
        <f t="shared" si="104"/>
        <v>9000</v>
      </c>
      <c r="K683" s="510">
        <f t="shared" si="104"/>
        <v>0</v>
      </c>
      <c r="L683" s="510">
        <f t="shared" si="104"/>
        <v>0</v>
      </c>
      <c r="M683" s="510">
        <f t="shared" si="104"/>
        <v>55000</v>
      </c>
      <c r="N683" s="510">
        <f t="shared" si="104"/>
        <v>0</v>
      </c>
    </row>
    <row r="684" spans="1:14" s="343" customFormat="1" ht="63.75" hidden="1">
      <c r="A684" s="442"/>
      <c r="B684" s="442"/>
      <c r="C684" s="446">
        <v>2810</v>
      </c>
      <c r="D684" s="455" t="s">
        <v>354</v>
      </c>
      <c r="E684" s="507">
        <f t="shared" si="94"/>
        <v>0</v>
      </c>
      <c r="F684" s="512">
        <f t="shared" si="100"/>
        <v>0</v>
      </c>
      <c r="G684" s="510"/>
      <c r="H684" s="510"/>
      <c r="I684" s="510"/>
      <c r="J684" s="512"/>
      <c r="K684" s="510"/>
      <c r="L684" s="510"/>
      <c r="M684" s="510"/>
      <c r="N684" s="510"/>
    </row>
    <row r="685" spans="1:14" s="343" customFormat="1" ht="75" customHeight="1">
      <c r="A685" s="442"/>
      <c r="B685" s="442"/>
      <c r="C685" s="446">
        <v>2820</v>
      </c>
      <c r="D685" s="455" t="s">
        <v>353</v>
      </c>
      <c r="E685" s="507">
        <f t="shared" si="94"/>
        <v>9000</v>
      </c>
      <c r="F685" s="512">
        <f t="shared" si="100"/>
        <v>9000</v>
      </c>
      <c r="G685" s="510"/>
      <c r="H685" s="510"/>
      <c r="I685" s="510"/>
      <c r="J685" s="512">
        <v>9000</v>
      </c>
      <c r="K685" s="510"/>
      <c r="L685" s="510"/>
      <c r="M685" s="510"/>
      <c r="N685" s="510"/>
    </row>
    <row r="686" spans="1:14" s="341" customFormat="1" ht="25.5" hidden="1">
      <c r="A686" s="452"/>
      <c r="B686" s="452"/>
      <c r="C686" s="453">
        <v>4170</v>
      </c>
      <c r="D686" s="511" t="s">
        <v>263</v>
      </c>
      <c r="E686" s="507">
        <f t="shared" si="94"/>
        <v>0</v>
      </c>
      <c r="F686" s="512">
        <f t="shared" si="100"/>
        <v>0</v>
      </c>
      <c r="G686" s="512"/>
      <c r="H686" s="512"/>
      <c r="I686" s="512"/>
      <c r="J686" s="512"/>
      <c r="K686" s="512"/>
      <c r="L686" s="512"/>
      <c r="M686" s="512"/>
      <c r="N686" s="512"/>
    </row>
    <row r="687" spans="1:14" s="341" customFormat="1" ht="34.5" customHeight="1">
      <c r="A687" s="452"/>
      <c r="B687" s="452"/>
      <c r="C687" s="453">
        <v>4210</v>
      </c>
      <c r="D687" s="511" t="s">
        <v>658</v>
      </c>
      <c r="E687" s="507">
        <f t="shared" si="94"/>
        <v>35000</v>
      </c>
      <c r="F687" s="512">
        <f t="shared" si="100"/>
        <v>35000</v>
      </c>
      <c r="G687" s="512"/>
      <c r="H687" s="512"/>
      <c r="I687" s="512"/>
      <c r="J687" s="512"/>
      <c r="K687" s="512"/>
      <c r="L687" s="512"/>
      <c r="M687" s="512">
        <v>35000</v>
      </c>
      <c r="N687" s="512"/>
    </row>
    <row r="688" spans="1:14" s="341" customFormat="1" ht="34.5" customHeight="1" hidden="1">
      <c r="A688" s="452"/>
      <c r="B688" s="452"/>
      <c r="C688" s="453">
        <v>4218</v>
      </c>
      <c r="D688" s="511" t="s">
        <v>658</v>
      </c>
      <c r="E688" s="507">
        <f t="shared" si="94"/>
        <v>0</v>
      </c>
      <c r="F688" s="512">
        <f>SUM(G688:M688)</f>
        <v>0</v>
      </c>
      <c r="G688" s="512"/>
      <c r="H688" s="512"/>
      <c r="I688" s="512"/>
      <c r="J688" s="512"/>
      <c r="K688" s="512"/>
      <c r="L688" s="535"/>
      <c r="M688" s="512"/>
      <c r="N688" s="512"/>
    </row>
    <row r="689" spans="1:14" s="341" customFormat="1" ht="34.5" customHeight="1" hidden="1">
      <c r="A689" s="452"/>
      <c r="B689" s="452"/>
      <c r="C689" s="453">
        <v>4219</v>
      </c>
      <c r="D689" s="511" t="s">
        <v>658</v>
      </c>
      <c r="E689" s="507">
        <f t="shared" si="94"/>
        <v>0</v>
      </c>
      <c r="F689" s="512">
        <f>SUM(G689:M689)</f>
        <v>0</v>
      </c>
      <c r="G689" s="512"/>
      <c r="H689" s="512"/>
      <c r="I689" s="512"/>
      <c r="J689" s="512"/>
      <c r="K689" s="512"/>
      <c r="L689" s="535"/>
      <c r="M689" s="512"/>
      <c r="N689" s="512"/>
    </row>
    <row r="690" spans="1:14" s="341" customFormat="1" ht="19.5" customHeight="1" hidden="1">
      <c r="A690" s="452"/>
      <c r="B690" s="452"/>
      <c r="C690" s="453">
        <v>4308</v>
      </c>
      <c r="D690" s="511" t="s">
        <v>32</v>
      </c>
      <c r="E690" s="507">
        <f t="shared" si="94"/>
        <v>0</v>
      </c>
      <c r="F690" s="512">
        <f>SUM(G690:M690)</f>
        <v>0</v>
      </c>
      <c r="G690" s="512"/>
      <c r="H690" s="512"/>
      <c r="I690" s="512"/>
      <c r="J690" s="512"/>
      <c r="K690" s="512"/>
      <c r="L690" s="535"/>
      <c r="M690" s="512"/>
      <c r="N690" s="512"/>
    </row>
    <row r="691" spans="1:14" s="341" customFormat="1" ht="21.75" customHeight="1" hidden="1">
      <c r="A691" s="452"/>
      <c r="B691" s="452"/>
      <c r="C691" s="453">
        <v>4309</v>
      </c>
      <c r="D691" s="511" t="s">
        <v>32</v>
      </c>
      <c r="E691" s="507">
        <f t="shared" si="94"/>
        <v>0</v>
      </c>
      <c r="F691" s="512">
        <f>SUM(G691:M691)</f>
        <v>0</v>
      </c>
      <c r="G691" s="512"/>
      <c r="H691" s="512"/>
      <c r="I691" s="512"/>
      <c r="J691" s="512"/>
      <c r="K691" s="512"/>
      <c r="L691" s="535"/>
      <c r="M691" s="512"/>
      <c r="N691" s="512"/>
    </row>
    <row r="692" spans="1:14" s="341" customFormat="1" ht="48.75" customHeight="1">
      <c r="A692" s="452"/>
      <c r="B692" s="452"/>
      <c r="C692" s="453">
        <v>4300</v>
      </c>
      <c r="D692" s="511" t="s">
        <v>32</v>
      </c>
      <c r="E692" s="507">
        <f t="shared" si="94"/>
        <v>20000</v>
      </c>
      <c r="F692" s="512">
        <f t="shared" si="100"/>
        <v>20000</v>
      </c>
      <c r="G692" s="512"/>
      <c r="H692" s="512"/>
      <c r="I692" s="512"/>
      <c r="J692" s="512"/>
      <c r="K692" s="512"/>
      <c r="L692" s="512"/>
      <c r="M692" s="512">
        <v>20000</v>
      </c>
      <c r="N692" s="512"/>
    </row>
    <row r="693" spans="1:14" s="341" customFormat="1" ht="50.25" customHeight="1" hidden="1">
      <c r="A693" s="452"/>
      <c r="B693" s="452"/>
      <c r="C693" s="539">
        <v>4740</v>
      </c>
      <c r="D693" s="518" t="s">
        <v>24</v>
      </c>
      <c r="E693" s="507">
        <f t="shared" si="94"/>
        <v>0</v>
      </c>
      <c r="F693" s="512">
        <f>SUM(G693:M693)</f>
        <v>0</v>
      </c>
      <c r="G693" s="512"/>
      <c r="H693" s="512"/>
      <c r="I693" s="512"/>
      <c r="J693" s="512"/>
      <c r="K693" s="512"/>
      <c r="L693" s="512"/>
      <c r="M693" s="512"/>
      <c r="N693" s="512"/>
    </row>
    <row r="694" spans="1:14" s="341" customFormat="1" ht="38.25" hidden="1">
      <c r="A694" s="452"/>
      <c r="B694" s="452"/>
      <c r="C694" s="539">
        <v>4750</v>
      </c>
      <c r="D694" s="518" t="s">
        <v>64</v>
      </c>
      <c r="E694" s="507">
        <f t="shared" si="94"/>
        <v>0</v>
      </c>
      <c r="F694" s="512">
        <f>SUM(G694:M694)</f>
        <v>0</v>
      </c>
      <c r="G694" s="512"/>
      <c r="H694" s="512"/>
      <c r="I694" s="512"/>
      <c r="J694" s="512"/>
      <c r="K694" s="512"/>
      <c r="L694" s="512"/>
      <c r="M694" s="512"/>
      <c r="N694" s="512"/>
    </row>
    <row r="695" spans="1:14" s="341" customFormat="1" ht="25.5" hidden="1">
      <c r="A695" s="452"/>
      <c r="B695" s="452"/>
      <c r="C695" s="539">
        <v>6050</v>
      </c>
      <c r="D695" s="518" t="s">
        <v>377</v>
      </c>
      <c r="E695" s="507">
        <f t="shared" si="94"/>
        <v>0</v>
      </c>
      <c r="F695" s="512"/>
      <c r="G695" s="512"/>
      <c r="H695" s="512"/>
      <c r="I695" s="512"/>
      <c r="J695" s="512"/>
      <c r="K695" s="512"/>
      <c r="L695" s="512"/>
      <c r="M695" s="512"/>
      <c r="N695" s="512"/>
    </row>
    <row r="696" spans="1:14" s="343" customFormat="1" ht="25.5">
      <c r="A696" s="442">
        <v>926</v>
      </c>
      <c r="B696" s="442"/>
      <c r="C696" s="443"/>
      <c r="D696" s="437" t="s">
        <v>119</v>
      </c>
      <c r="E696" s="507">
        <f t="shared" si="94"/>
        <v>138000</v>
      </c>
      <c r="F696" s="508">
        <f t="shared" si="100"/>
        <v>138000</v>
      </c>
      <c r="G696" s="508">
        <f aca="true" t="shared" si="105" ref="G696:N696">SUM(G697)</f>
        <v>0</v>
      </c>
      <c r="H696" s="508">
        <f t="shared" si="105"/>
        <v>0</v>
      </c>
      <c r="I696" s="508">
        <f t="shared" si="105"/>
        <v>700</v>
      </c>
      <c r="J696" s="508">
        <f t="shared" si="105"/>
        <v>50000</v>
      </c>
      <c r="K696" s="508">
        <f t="shared" si="105"/>
        <v>0</v>
      </c>
      <c r="L696" s="508">
        <f t="shared" si="105"/>
        <v>0</v>
      </c>
      <c r="M696" s="508">
        <f t="shared" si="105"/>
        <v>87300</v>
      </c>
      <c r="N696" s="508">
        <f t="shared" si="105"/>
        <v>0</v>
      </c>
    </row>
    <row r="697" spans="1:14" s="343" customFormat="1" ht="25.5">
      <c r="A697" s="442"/>
      <c r="B697" s="442">
        <v>92605</v>
      </c>
      <c r="C697" s="443"/>
      <c r="D697" s="444" t="s">
        <v>120</v>
      </c>
      <c r="E697" s="507">
        <f t="shared" si="94"/>
        <v>138000</v>
      </c>
      <c r="F697" s="510">
        <f t="shared" si="100"/>
        <v>138000</v>
      </c>
      <c r="G697" s="546">
        <f aca="true" t="shared" si="106" ref="G697:N697">SUM(G698:G707)</f>
        <v>0</v>
      </c>
      <c r="H697" s="546">
        <f t="shared" si="106"/>
        <v>0</v>
      </c>
      <c r="I697" s="546">
        <f t="shared" si="106"/>
        <v>700</v>
      </c>
      <c r="J697" s="546">
        <f t="shared" si="106"/>
        <v>50000</v>
      </c>
      <c r="K697" s="546">
        <f t="shared" si="106"/>
        <v>0</v>
      </c>
      <c r="L697" s="546">
        <f t="shared" si="106"/>
        <v>0</v>
      </c>
      <c r="M697" s="546">
        <f t="shared" si="106"/>
        <v>87300</v>
      </c>
      <c r="N697" s="546">
        <f t="shared" si="106"/>
        <v>0</v>
      </c>
    </row>
    <row r="698" spans="1:14" s="343" customFormat="1" ht="63.75">
      <c r="A698" s="442"/>
      <c r="B698" s="442"/>
      <c r="C698" s="446">
        <v>2820</v>
      </c>
      <c r="D698" s="455" t="s">
        <v>353</v>
      </c>
      <c r="E698" s="507">
        <f t="shared" si="94"/>
        <v>50000</v>
      </c>
      <c r="F698" s="512">
        <f t="shared" si="100"/>
        <v>50000</v>
      </c>
      <c r="G698" s="546"/>
      <c r="H698" s="546"/>
      <c r="I698" s="546"/>
      <c r="J698" s="547">
        <v>50000</v>
      </c>
      <c r="K698" s="546"/>
      <c r="L698" s="546"/>
      <c r="M698" s="546"/>
      <c r="N698" s="546"/>
    </row>
    <row r="699" spans="1:14" s="341" customFormat="1" ht="31.5" customHeight="1">
      <c r="A699" s="445"/>
      <c r="B699" s="445"/>
      <c r="C699" s="446">
        <v>4110</v>
      </c>
      <c r="D699" s="455" t="s">
        <v>59</v>
      </c>
      <c r="E699" s="507">
        <f t="shared" si="94"/>
        <v>600</v>
      </c>
      <c r="F699" s="512">
        <f t="shared" si="100"/>
        <v>600</v>
      </c>
      <c r="G699" s="512"/>
      <c r="H699" s="512"/>
      <c r="I699" s="512">
        <v>600</v>
      </c>
      <c r="J699" s="512"/>
      <c r="K699" s="512"/>
      <c r="L699" s="512"/>
      <c r="M699" s="512"/>
      <c r="N699" s="512"/>
    </row>
    <row r="700" spans="1:14" s="341" customFormat="1" ht="39.75" customHeight="1">
      <c r="A700" s="452"/>
      <c r="B700" s="452"/>
      <c r="C700" s="453">
        <v>4120</v>
      </c>
      <c r="D700" s="511" t="s">
        <v>656</v>
      </c>
      <c r="E700" s="507">
        <f t="shared" si="94"/>
        <v>100</v>
      </c>
      <c r="F700" s="512">
        <f t="shared" si="100"/>
        <v>100</v>
      </c>
      <c r="G700" s="512"/>
      <c r="H700" s="512"/>
      <c r="I700" s="512">
        <v>100</v>
      </c>
      <c r="J700" s="512"/>
      <c r="K700" s="512"/>
      <c r="L700" s="512"/>
      <c r="M700" s="512"/>
      <c r="N700" s="512"/>
    </row>
    <row r="701" spans="1:14" s="341" customFormat="1" ht="35.25" customHeight="1">
      <c r="A701" s="452"/>
      <c r="B701" s="452"/>
      <c r="C701" s="453">
        <v>4210</v>
      </c>
      <c r="D701" s="511" t="s">
        <v>658</v>
      </c>
      <c r="E701" s="507">
        <f t="shared" si="94"/>
        <v>56000</v>
      </c>
      <c r="F701" s="512">
        <f t="shared" si="100"/>
        <v>56000</v>
      </c>
      <c r="G701" s="512"/>
      <c r="H701" s="512"/>
      <c r="I701" s="512"/>
      <c r="J701" s="512"/>
      <c r="K701" s="512"/>
      <c r="L701" s="512"/>
      <c r="M701" s="512">
        <v>56000</v>
      </c>
      <c r="N701" s="512"/>
    </row>
    <row r="702" spans="1:14" s="341" customFormat="1" ht="25.5">
      <c r="A702" s="452"/>
      <c r="B702" s="452"/>
      <c r="C702" s="453">
        <v>4170</v>
      </c>
      <c r="D702" s="511" t="s">
        <v>21</v>
      </c>
      <c r="E702" s="507">
        <f t="shared" si="94"/>
        <v>15000</v>
      </c>
      <c r="F702" s="512">
        <f t="shared" si="100"/>
        <v>15000</v>
      </c>
      <c r="G702" s="512"/>
      <c r="H702" s="512"/>
      <c r="I702" s="512"/>
      <c r="J702" s="512"/>
      <c r="K702" s="512"/>
      <c r="L702" s="512"/>
      <c r="M702" s="512">
        <v>15000</v>
      </c>
      <c r="N702" s="512"/>
    </row>
    <row r="703" spans="1:14" s="341" customFormat="1" ht="25.5" hidden="1">
      <c r="A703" s="470"/>
      <c r="B703" s="452"/>
      <c r="C703" s="453">
        <v>4110</v>
      </c>
      <c r="D703" s="511" t="s">
        <v>59</v>
      </c>
      <c r="E703" s="507">
        <f t="shared" si="94"/>
        <v>0</v>
      </c>
      <c r="F703" s="512">
        <f t="shared" si="100"/>
        <v>0</v>
      </c>
      <c r="G703" s="512"/>
      <c r="H703" s="512"/>
      <c r="I703" s="512"/>
      <c r="J703" s="512"/>
      <c r="K703" s="512"/>
      <c r="L703" s="512"/>
      <c r="M703" s="512"/>
      <c r="N703" s="512"/>
    </row>
    <row r="704" spans="1:14" s="341" customFormat="1" ht="41.25" customHeight="1">
      <c r="A704" s="452"/>
      <c r="B704" s="452"/>
      <c r="C704" s="453">
        <v>4300</v>
      </c>
      <c r="D704" s="511" t="s">
        <v>32</v>
      </c>
      <c r="E704" s="507">
        <f t="shared" si="94"/>
        <v>16000</v>
      </c>
      <c r="F704" s="512">
        <f t="shared" si="100"/>
        <v>16000</v>
      </c>
      <c r="G704" s="512"/>
      <c r="H704" s="512"/>
      <c r="I704" s="512"/>
      <c r="J704" s="512"/>
      <c r="K704" s="512"/>
      <c r="L704" s="512"/>
      <c r="M704" s="512">
        <v>16000</v>
      </c>
      <c r="N704" s="512"/>
    </row>
    <row r="705" spans="1:14" s="341" customFormat="1" ht="51" hidden="1">
      <c r="A705" s="452"/>
      <c r="B705" s="452"/>
      <c r="C705" s="453">
        <v>4400</v>
      </c>
      <c r="D705" s="511" t="s">
        <v>362</v>
      </c>
      <c r="E705" s="507">
        <f t="shared" si="94"/>
        <v>0</v>
      </c>
      <c r="F705" s="512">
        <f>SUM(G705:M705)</f>
        <v>0</v>
      </c>
      <c r="G705" s="512"/>
      <c r="H705" s="512"/>
      <c r="I705" s="512"/>
      <c r="J705" s="512"/>
      <c r="K705" s="512"/>
      <c r="L705" s="512"/>
      <c r="M705" s="512"/>
      <c r="N705" s="512"/>
    </row>
    <row r="706" spans="1:14" s="341" customFormat="1" ht="38.25" hidden="1">
      <c r="A706" s="452"/>
      <c r="B706" s="452"/>
      <c r="C706" s="453">
        <v>4440</v>
      </c>
      <c r="D706" s="511" t="s">
        <v>669</v>
      </c>
      <c r="E706" s="507">
        <f t="shared" si="94"/>
        <v>0</v>
      </c>
      <c r="F706" s="512">
        <f t="shared" si="100"/>
        <v>0</v>
      </c>
      <c r="G706" s="512"/>
      <c r="H706" s="512"/>
      <c r="I706" s="512"/>
      <c r="J706" s="512"/>
      <c r="K706" s="512"/>
      <c r="L706" s="512"/>
      <c r="M706" s="512"/>
      <c r="N706" s="512"/>
    </row>
    <row r="707" spans="1:14" s="341" customFormat="1" ht="24.75" customHeight="1">
      <c r="A707" s="452"/>
      <c r="B707" s="452"/>
      <c r="C707" s="453">
        <v>4410</v>
      </c>
      <c r="D707" s="511" t="s">
        <v>667</v>
      </c>
      <c r="E707" s="507">
        <f t="shared" si="94"/>
        <v>300</v>
      </c>
      <c r="F707" s="512">
        <f t="shared" si="100"/>
        <v>300</v>
      </c>
      <c r="G707" s="512"/>
      <c r="H707" s="512"/>
      <c r="I707" s="512"/>
      <c r="J707" s="512"/>
      <c r="K707" s="512"/>
      <c r="L707" s="512"/>
      <c r="M707" s="512">
        <v>300</v>
      </c>
      <c r="N707" s="512"/>
    </row>
    <row r="708" spans="1:14" s="345" customFormat="1" ht="15">
      <c r="A708" s="598" t="s">
        <v>533</v>
      </c>
      <c r="B708" s="598"/>
      <c r="C708" s="598"/>
      <c r="D708" s="598"/>
      <c r="E708" s="507">
        <f t="shared" si="94"/>
        <v>70812104</v>
      </c>
      <c r="F708" s="548">
        <f aca="true" t="shared" si="107" ref="F708:N708">F8+F12+F94+F61+F45+F17+F181+F191+F197+F201+F374+F383+F516+F610+F677+F696+F175</f>
        <v>53127951</v>
      </c>
      <c r="G708" s="548">
        <f t="shared" si="107"/>
        <v>23470640</v>
      </c>
      <c r="H708" s="548">
        <f t="shared" si="107"/>
        <v>1832290</v>
      </c>
      <c r="I708" s="548">
        <f t="shared" si="107"/>
        <v>4704280</v>
      </c>
      <c r="J708" s="548">
        <f t="shared" si="107"/>
        <v>923160</v>
      </c>
      <c r="K708" s="548">
        <f t="shared" si="107"/>
        <v>764465</v>
      </c>
      <c r="L708" s="548">
        <f t="shared" si="107"/>
        <v>1289212</v>
      </c>
      <c r="M708" s="548">
        <f t="shared" si="107"/>
        <v>20143904</v>
      </c>
      <c r="N708" s="548">
        <f t="shared" si="107"/>
        <v>17684153</v>
      </c>
    </row>
    <row r="709" spans="1:14" ht="15">
      <c r="A709" s="549"/>
      <c r="B709" s="549"/>
      <c r="C709" s="549"/>
      <c r="D709" s="549"/>
      <c r="E709" s="550"/>
      <c r="F709" s="551"/>
      <c r="G709" s="551"/>
      <c r="H709" s="551"/>
      <c r="I709" s="551"/>
      <c r="J709" s="551"/>
      <c r="K709" s="551"/>
      <c r="L709" s="551"/>
      <c r="M709" s="551"/>
      <c r="N709" s="551"/>
    </row>
    <row r="710" spans="1:14" ht="15">
      <c r="A710" s="549"/>
      <c r="B710" s="549"/>
      <c r="C710" s="552"/>
      <c r="D710" s="553" t="s">
        <v>626</v>
      </c>
      <c r="E710" s="195">
        <f>F710+N710</f>
        <v>4987506</v>
      </c>
      <c r="F710" s="106">
        <f>SUM(G710:M710)</f>
        <v>1536267</v>
      </c>
      <c r="G710" s="106">
        <f>G538+G576+G577</f>
        <v>70328</v>
      </c>
      <c r="H710" s="106">
        <f>H540</f>
        <v>8270</v>
      </c>
      <c r="I710" s="106">
        <f>I350+I351+I542+I544+I578+I579+I580+I581+I352+I353</f>
        <v>168457</v>
      </c>
      <c r="J710" s="106">
        <f>J570+J571+J572+J573</f>
        <v>0</v>
      </c>
      <c r="K710" s="422"/>
      <c r="L710" s="106">
        <f>L708</f>
        <v>1289212</v>
      </c>
      <c r="M710" s="422"/>
      <c r="N710" s="106">
        <f>N43+N42+N569</f>
        <v>3451239</v>
      </c>
    </row>
    <row r="715" ht="15.75">
      <c r="F715" s="554"/>
    </row>
  </sheetData>
  <sheetProtection/>
  <mergeCells count="11">
    <mergeCell ref="F5:F6"/>
    <mergeCell ref="N5:N6"/>
    <mergeCell ref="C4:C6"/>
    <mergeCell ref="A708:D708"/>
    <mergeCell ref="A1:N1"/>
    <mergeCell ref="E4:E6"/>
    <mergeCell ref="A4:A6"/>
    <mergeCell ref="D4:D6"/>
    <mergeCell ref="B4:B6"/>
    <mergeCell ref="F4:N4"/>
    <mergeCell ref="G5:M5"/>
  </mergeCells>
  <printOptions horizontalCentered="1"/>
  <pageMargins left="0.5905511811023623" right="0.5905511811023623" top="1.1023622047244095" bottom="0.5905511811023623" header="0.5118110236220472" footer="0.5118110236220472"/>
  <pageSetup firstPageNumber="7" useFirstPageNumber="1" horizontalDpi="600" verticalDpi="600" orientation="landscape" paperSize="9" scale="75" r:id="rId1"/>
  <headerFooter alignWithMargins="0">
    <oddHeader>&amp;RZałącznik nr 2
do uchwały Zarządu Powiatu nr 260/09
z dnia 9.11.2009 r.</oddHeader>
    <oddFooter>&amp;C&amp;P</oddFooter>
  </headerFooter>
</worksheet>
</file>

<file path=xl/worksheets/sheet3.xml><?xml version="1.0" encoding="utf-8"?>
<worksheet xmlns="http://schemas.openxmlformats.org/spreadsheetml/2006/main" xmlns:r="http://schemas.openxmlformats.org/officeDocument/2006/relationships">
  <dimension ref="A1:O49"/>
  <sheetViews>
    <sheetView tabSelected="1" zoomScalePageLayoutView="0" workbookViewId="0" topLeftCell="F4">
      <pane ySplit="5" topLeftCell="BM17" activePane="bottomLeft" state="frozen"/>
      <selection pane="topLeft" activeCell="A4" sqref="A4"/>
      <selection pane="bottomLeft" activeCell="Q19" sqref="Q19"/>
    </sheetView>
  </sheetViews>
  <sheetFormatPr defaultColWidth="9.00390625" defaultRowHeight="12.75"/>
  <cols>
    <col min="1" max="1" width="3.625" style="194" customWidth="1"/>
    <col min="2" max="2" width="5.625" style="249" customWidth="1"/>
    <col min="3" max="3" width="7.75390625" style="249" customWidth="1"/>
    <col min="4" max="4" width="4.875" style="249" customWidth="1"/>
    <col min="5" max="5" width="18.25390625" style="249" customWidth="1"/>
    <col min="6" max="6" width="12.00390625" style="249" customWidth="1"/>
    <col min="7" max="7" width="12.375" style="249" customWidth="1"/>
    <col min="8" max="8" width="10.125" style="249" customWidth="1"/>
    <col min="9" max="9" width="11.25390625" style="335" bestFit="1" customWidth="1"/>
    <col min="10" max="11" width="9.125" style="249" customWidth="1"/>
    <col min="12" max="12" width="11.625" style="249" customWidth="1"/>
    <col min="13" max="13" width="11.25390625" style="217" bestFit="1" customWidth="1"/>
    <col min="14" max="14" width="10.125" style="249" bestFit="1" customWidth="1"/>
    <col min="15" max="15" width="13.875" style="217" customWidth="1"/>
    <col min="16" max="16384" width="9.125" style="249" customWidth="1"/>
  </cols>
  <sheetData>
    <row r="1" spans="2:15" ht="15.75">
      <c r="B1" s="570" t="s">
        <v>700</v>
      </c>
      <c r="C1" s="570"/>
      <c r="D1" s="570"/>
      <c r="E1" s="570"/>
      <c r="F1" s="570"/>
      <c r="G1" s="570"/>
      <c r="H1" s="570"/>
      <c r="I1" s="570"/>
      <c r="J1" s="570"/>
      <c r="K1" s="570"/>
      <c r="L1" s="570"/>
      <c r="M1" s="570"/>
      <c r="N1" s="570"/>
      <c r="O1" s="570"/>
    </row>
    <row r="2" spans="2:15" ht="10.5" customHeight="1">
      <c r="B2" s="12"/>
      <c r="C2" s="12"/>
      <c r="D2" s="12"/>
      <c r="E2" s="12"/>
      <c r="F2" s="12"/>
      <c r="G2" s="12"/>
      <c r="H2" s="12"/>
      <c r="I2" s="332"/>
      <c r="J2" s="12"/>
      <c r="K2" s="12"/>
      <c r="L2" s="12"/>
      <c r="M2" s="214"/>
      <c r="N2" s="12"/>
      <c r="O2" s="8" t="s">
        <v>476</v>
      </c>
    </row>
    <row r="3" spans="1:15" s="35" customFormat="1" ht="19.5" customHeight="1">
      <c r="A3" s="575" t="s">
        <v>391</v>
      </c>
      <c r="B3" s="571" t="s">
        <v>437</v>
      </c>
      <c r="C3" s="572" t="s">
        <v>475</v>
      </c>
      <c r="D3" s="580" t="s">
        <v>563</v>
      </c>
      <c r="E3" s="566" t="s">
        <v>548</v>
      </c>
      <c r="F3" s="566" t="s">
        <v>701</v>
      </c>
      <c r="G3" s="566" t="s">
        <v>505</v>
      </c>
      <c r="H3" s="566"/>
      <c r="I3" s="566"/>
      <c r="J3" s="566"/>
      <c r="K3" s="566"/>
      <c r="L3" s="566"/>
      <c r="M3" s="566"/>
      <c r="N3" s="566"/>
      <c r="O3" s="573" t="s">
        <v>564</v>
      </c>
    </row>
    <row r="4" spans="1:15" s="35" customFormat="1" ht="19.5" customHeight="1">
      <c r="A4" s="576"/>
      <c r="B4" s="571"/>
      <c r="C4" s="572"/>
      <c r="D4" s="580"/>
      <c r="E4" s="566"/>
      <c r="F4" s="566"/>
      <c r="G4" s="566" t="s">
        <v>699</v>
      </c>
      <c r="H4" s="566" t="s">
        <v>633</v>
      </c>
      <c r="I4" s="566"/>
      <c r="J4" s="566"/>
      <c r="K4" s="566"/>
      <c r="L4" s="566"/>
      <c r="M4" s="573">
        <v>2011</v>
      </c>
      <c r="N4" s="566">
        <v>2012</v>
      </c>
      <c r="O4" s="573"/>
    </row>
    <row r="5" spans="1:15" s="35" customFormat="1" ht="48" customHeight="1">
      <c r="A5" s="576"/>
      <c r="B5" s="571"/>
      <c r="C5" s="572"/>
      <c r="D5" s="580"/>
      <c r="E5" s="566"/>
      <c r="F5" s="566"/>
      <c r="G5" s="566"/>
      <c r="H5" s="573" t="s">
        <v>313</v>
      </c>
      <c r="I5" s="574" t="s">
        <v>314</v>
      </c>
      <c r="J5" s="573" t="s">
        <v>710</v>
      </c>
      <c r="K5" s="573" t="s">
        <v>711</v>
      </c>
      <c r="L5" s="573" t="s">
        <v>572</v>
      </c>
      <c r="M5" s="573"/>
      <c r="N5" s="566"/>
      <c r="O5" s="573"/>
    </row>
    <row r="6" spans="1:15" s="35" customFormat="1" ht="19.5" customHeight="1">
      <c r="A6" s="576"/>
      <c r="B6" s="571"/>
      <c r="C6" s="572"/>
      <c r="D6" s="580"/>
      <c r="E6" s="566"/>
      <c r="F6" s="566"/>
      <c r="G6" s="566"/>
      <c r="H6" s="573"/>
      <c r="I6" s="574"/>
      <c r="J6" s="573"/>
      <c r="K6" s="573"/>
      <c r="L6" s="573"/>
      <c r="M6" s="573"/>
      <c r="N6" s="566"/>
      <c r="O6" s="573"/>
    </row>
    <row r="7" spans="1:15" s="35" customFormat="1" ht="36" customHeight="1">
      <c r="A7" s="577"/>
      <c r="B7" s="571"/>
      <c r="C7" s="572"/>
      <c r="D7" s="580"/>
      <c r="E7" s="566"/>
      <c r="F7" s="566"/>
      <c r="G7" s="566"/>
      <c r="H7" s="573"/>
      <c r="I7" s="574"/>
      <c r="J7" s="573"/>
      <c r="K7" s="573"/>
      <c r="L7" s="573"/>
      <c r="M7" s="573"/>
      <c r="N7" s="566"/>
      <c r="O7" s="573"/>
    </row>
    <row r="8" spans="1:15" ht="10.5" customHeight="1">
      <c r="A8" s="254">
        <v>1</v>
      </c>
      <c r="B8" s="225">
        <v>2</v>
      </c>
      <c r="C8" s="16">
        <v>3</v>
      </c>
      <c r="D8" s="16">
        <v>4</v>
      </c>
      <c r="E8" s="16">
        <v>5</v>
      </c>
      <c r="F8" s="16">
        <v>6</v>
      </c>
      <c r="G8" s="212">
        <v>7</v>
      </c>
      <c r="H8" s="16">
        <v>8</v>
      </c>
      <c r="I8" s="210">
        <v>9</v>
      </c>
      <c r="J8" s="16">
        <v>10</v>
      </c>
      <c r="K8" s="16">
        <v>10</v>
      </c>
      <c r="L8" s="16">
        <v>11</v>
      </c>
      <c r="M8" s="215">
        <v>12</v>
      </c>
      <c r="N8" s="16">
        <v>13</v>
      </c>
      <c r="O8" s="215">
        <v>14</v>
      </c>
    </row>
    <row r="9" spans="1:15" s="223" customFormat="1" ht="123.75">
      <c r="A9" s="254">
        <v>1</v>
      </c>
      <c r="B9" s="227">
        <v>600</v>
      </c>
      <c r="C9" s="221">
        <v>60014</v>
      </c>
      <c r="D9" s="221">
        <v>605</v>
      </c>
      <c r="E9" s="291" t="s">
        <v>384</v>
      </c>
      <c r="F9" s="224">
        <f aca="true" t="shared" si="0" ref="F9:N9">SUM(F11:F17)</f>
        <v>12736400</v>
      </c>
      <c r="G9" s="224">
        <f t="shared" si="0"/>
        <v>9116400</v>
      </c>
      <c r="H9" s="224">
        <f t="shared" si="0"/>
        <v>5516400</v>
      </c>
      <c r="I9" s="320">
        <f t="shared" si="0"/>
        <v>3600000</v>
      </c>
      <c r="J9" s="224">
        <f t="shared" si="0"/>
        <v>0</v>
      </c>
      <c r="K9" s="224">
        <f t="shared" si="0"/>
        <v>0</v>
      </c>
      <c r="L9" s="224">
        <f t="shared" si="0"/>
        <v>0</v>
      </c>
      <c r="M9" s="224">
        <f t="shared" si="0"/>
        <v>3620000</v>
      </c>
      <c r="N9" s="320">
        <f t="shared" si="0"/>
        <v>0</v>
      </c>
      <c r="O9" s="290" t="s">
        <v>379</v>
      </c>
    </row>
    <row r="10" spans="1:15" s="223" customFormat="1" ht="14.25">
      <c r="A10" s="254"/>
      <c r="B10" s="227"/>
      <c r="C10" s="221"/>
      <c r="D10" s="221"/>
      <c r="E10" s="221" t="s">
        <v>285</v>
      </c>
      <c r="F10" s="221"/>
      <c r="G10" s="222"/>
      <c r="H10" s="221"/>
      <c r="I10" s="210"/>
      <c r="J10" s="221"/>
      <c r="K10" s="221"/>
      <c r="L10" s="221"/>
      <c r="M10" s="215"/>
      <c r="N10" s="221"/>
      <c r="O10" s="215"/>
    </row>
    <row r="11" spans="1:15" ht="111" customHeight="1">
      <c r="A11" s="254"/>
      <c r="B11" s="294"/>
      <c r="C11" s="248"/>
      <c r="D11" s="211"/>
      <c r="E11" s="87" t="s">
        <v>725</v>
      </c>
      <c r="F11" s="141">
        <f aca="true" t="shared" si="1" ref="F11:F17">G11+M11+N11</f>
        <v>4520000</v>
      </c>
      <c r="G11" s="250">
        <f aca="true" t="shared" si="2" ref="G11:G16">SUM(H11:L11)</f>
        <v>4520000</v>
      </c>
      <c r="H11" s="282">
        <f>497200+2260000</f>
        <v>2757200</v>
      </c>
      <c r="I11" s="333">
        <v>1762800</v>
      </c>
      <c r="J11" s="282">
        <v>0</v>
      </c>
      <c r="K11" s="282">
        <v>0</v>
      </c>
      <c r="L11" s="282">
        <v>0</v>
      </c>
      <c r="M11" s="305"/>
      <c r="N11" s="282"/>
      <c r="O11" s="215" t="s">
        <v>378</v>
      </c>
    </row>
    <row r="12" spans="1:15" ht="60">
      <c r="A12" s="254"/>
      <c r="B12" s="293"/>
      <c r="C12" s="248"/>
      <c r="D12" s="211"/>
      <c r="E12" s="87" t="s">
        <v>430</v>
      </c>
      <c r="F12" s="141">
        <f t="shared" si="1"/>
        <v>386400</v>
      </c>
      <c r="G12" s="250">
        <f t="shared" si="2"/>
        <v>386400</v>
      </c>
      <c r="H12" s="16">
        <f>66000+125100</f>
        <v>191100</v>
      </c>
      <c r="I12" s="210">
        <f>320400-125100</f>
        <v>195300</v>
      </c>
      <c r="J12" s="16"/>
      <c r="K12" s="16"/>
      <c r="L12" s="16"/>
      <c r="M12" s="216"/>
      <c r="N12" s="141"/>
      <c r="O12" s="215" t="s">
        <v>378</v>
      </c>
    </row>
    <row r="13" spans="1:15" ht="48" customHeight="1" hidden="1">
      <c r="A13" s="254"/>
      <c r="B13" s="293" t="s">
        <v>378</v>
      </c>
      <c r="C13" s="248" t="s">
        <v>378</v>
      </c>
      <c r="D13" s="211">
        <v>605</v>
      </c>
      <c r="E13" s="87" t="s">
        <v>315</v>
      </c>
      <c r="F13" s="141">
        <f t="shared" si="1"/>
        <v>0</v>
      </c>
      <c r="G13" s="250">
        <f t="shared" si="2"/>
        <v>0</v>
      </c>
      <c r="H13" s="16"/>
      <c r="I13" s="210"/>
      <c r="J13" s="16"/>
      <c r="K13" s="16"/>
      <c r="L13" s="16"/>
      <c r="M13" s="216"/>
      <c r="N13" s="141"/>
      <c r="O13" s="215" t="s">
        <v>378</v>
      </c>
    </row>
    <row r="14" spans="1:15" ht="156">
      <c r="A14" s="254"/>
      <c r="B14" s="293"/>
      <c r="C14" s="248"/>
      <c r="D14" s="211"/>
      <c r="E14" s="87" t="s">
        <v>729</v>
      </c>
      <c r="F14" s="141">
        <f t="shared" si="1"/>
        <v>4210000</v>
      </c>
      <c r="G14" s="250">
        <f t="shared" si="2"/>
        <v>4210000</v>
      </c>
      <c r="H14" s="16">
        <f>463100+2105000</f>
        <v>2568100</v>
      </c>
      <c r="I14" s="210">
        <v>1641900</v>
      </c>
      <c r="J14" s="16"/>
      <c r="K14" s="16"/>
      <c r="L14" s="16"/>
      <c r="M14" s="216"/>
      <c r="N14" s="141"/>
      <c r="O14" s="215" t="s">
        <v>378</v>
      </c>
    </row>
    <row r="15" spans="1:15" ht="62.25" customHeight="1" hidden="1">
      <c r="A15" s="254"/>
      <c r="B15" s="294" t="s">
        <v>378</v>
      </c>
      <c r="C15" s="248" t="s">
        <v>378</v>
      </c>
      <c r="D15" s="211">
        <v>605</v>
      </c>
      <c r="E15" s="141">
        <f>F15+L15+M15</f>
        <v>0</v>
      </c>
      <c r="F15" s="141">
        <f t="shared" si="1"/>
        <v>0</v>
      </c>
      <c r="G15" s="250">
        <f t="shared" si="2"/>
        <v>0</v>
      </c>
      <c r="H15" s="282"/>
      <c r="I15" s="333"/>
      <c r="J15" s="282">
        <v>0</v>
      </c>
      <c r="K15" s="282">
        <v>0</v>
      </c>
      <c r="L15" s="282">
        <v>0</v>
      </c>
      <c r="M15" s="305">
        <v>0</v>
      </c>
      <c r="N15" s="282"/>
      <c r="O15" s="215" t="s">
        <v>378</v>
      </c>
    </row>
    <row r="16" spans="1:15" ht="62.25" customHeight="1" hidden="1">
      <c r="A16" s="254"/>
      <c r="B16" s="307" t="s">
        <v>428</v>
      </c>
      <c r="C16" s="292" t="s">
        <v>429</v>
      </c>
      <c r="D16" s="211">
        <v>605</v>
      </c>
      <c r="E16" s="353" t="s">
        <v>302</v>
      </c>
      <c r="F16" s="141">
        <f t="shared" si="1"/>
        <v>0</v>
      </c>
      <c r="G16" s="250">
        <f t="shared" si="2"/>
        <v>0</v>
      </c>
      <c r="H16" s="282"/>
      <c r="I16" s="333"/>
      <c r="J16" s="282"/>
      <c r="K16" s="282"/>
      <c r="L16" s="282"/>
      <c r="M16" s="305"/>
      <c r="N16" s="282"/>
      <c r="O16" s="215" t="s">
        <v>303</v>
      </c>
    </row>
    <row r="17" spans="1:15" ht="90">
      <c r="A17" s="254"/>
      <c r="B17" s="294"/>
      <c r="C17" s="248"/>
      <c r="D17" s="211"/>
      <c r="E17" s="291" t="s">
        <v>724</v>
      </c>
      <c r="F17" s="141">
        <f t="shared" si="1"/>
        <v>3620000</v>
      </c>
      <c r="G17" s="250">
        <f aca="true" t="shared" si="3" ref="G17:G40">SUM(H17:L17)</f>
        <v>0</v>
      </c>
      <c r="H17" s="282"/>
      <c r="I17" s="333"/>
      <c r="J17" s="282">
        <v>0</v>
      </c>
      <c r="K17" s="282">
        <v>0</v>
      </c>
      <c r="L17" s="282">
        <v>0</v>
      </c>
      <c r="M17" s="305">
        <v>3620000</v>
      </c>
      <c r="N17" s="282"/>
      <c r="O17" s="215" t="s">
        <v>378</v>
      </c>
    </row>
    <row r="18" spans="1:15" ht="78" customHeight="1">
      <c r="A18" s="254">
        <v>2</v>
      </c>
      <c r="B18" s="300" t="s">
        <v>713</v>
      </c>
      <c r="C18" s="248">
        <v>60014</v>
      </c>
      <c r="D18" s="211">
        <v>605</v>
      </c>
      <c r="E18" s="87" t="s">
        <v>681</v>
      </c>
      <c r="F18" s="141">
        <f>F19+F20+F21</f>
        <v>26019311</v>
      </c>
      <c r="G18" s="250">
        <f t="shared" si="3"/>
        <v>3530114</v>
      </c>
      <c r="H18" s="282">
        <f>H19+H20+H21</f>
        <v>1973759</v>
      </c>
      <c r="I18" s="282">
        <f aca="true" t="shared" si="4" ref="I18:N18">I19+I20+I21</f>
        <v>0</v>
      </c>
      <c r="J18" s="282"/>
      <c r="K18" s="282">
        <f t="shared" si="4"/>
        <v>82875</v>
      </c>
      <c r="L18" s="282">
        <f t="shared" si="4"/>
        <v>1473480</v>
      </c>
      <c r="M18" s="282">
        <f t="shared" si="4"/>
        <v>15800191</v>
      </c>
      <c r="N18" s="282">
        <f t="shared" si="4"/>
        <v>6689006</v>
      </c>
      <c r="O18" s="290" t="s">
        <v>193</v>
      </c>
    </row>
    <row r="19" spans="1:15" ht="78" customHeight="1">
      <c r="A19" s="254"/>
      <c r="B19" s="300"/>
      <c r="C19" s="248"/>
      <c r="D19" s="211"/>
      <c r="E19" s="373" t="s">
        <v>702</v>
      </c>
      <c r="F19" s="141">
        <f aca="true" t="shared" si="5" ref="F19:F31">G19+M19+N19</f>
        <v>4478638</v>
      </c>
      <c r="G19" s="250">
        <f t="shared" si="3"/>
        <v>2333301</v>
      </c>
      <c r="H19" s="282">
        <f>68527+339282+302129+67008</f>
        <v>776946</v>
      </c>
      <c r="I19" s="333"/>
      <c r="J19" s="282"/>
      <c r="K19" s="282">
        <v>82875</v>
      </c>
      <c r="L19" s="282">
        <v>1473480</v>
      </c>
      <c r="M19" s="282">
        <v>2145337</v>
      </c>
      <c r="N19" s="305">
        <v>0</v>
      </c>
      <c r="O19" s="290"/>
    </row>
    <row r="20" spans="1:15" ht="78" customHeight="1">
      <c r="A20" s="254"/>
      <c r="B20" s="294"/>
      <c r="C20" s="248"/>
      <c r="D20" s="211"/>
      <c r="E20" s="374" t="s">
        <v>703</v>
      </c>
      <c r="F20" s="141">
        <f t="shared" si="5"/>
        <v>15565321</v>
      </c>
      <c r="G20" s="250">
        <f t="shared" si="3"/>
        <v>851813</v>
      </c>
      <c r="H20" s="282">
        <f>402510+139001+243484+66818</f>
        <v>851813</v>
      </c>
      <c r="I20" s="333"/>
      <c r="J20" s="282"/>
      <c r="K20" s="282"/>
      <c r="L20" s="282"/>
      <c r="M20" s="282">
        <f>1277721+6747828</f>
        <v>8025549</v>
      </c>
      <c r="N20" s="305">
        <f>6687957+2</f>
        <v>6687959</v>
      </c>
      <c r="O20" s="290"/>
    </row>
    <row r="21" spans="1:15" ht="78" customHeight="1">
      <c r="A21" s="254"/>
      <c r="B21" s="294"/>
      <c r="C21" s="248"/>
      <c r="D21" s="211"/>
      <c r="E21" s="374" t="s">
        <v>704</v>
      </c>
      <c r="F21" s="141">
        <f t="shared" si="5"/>
        <v>5975352</v>
      </c>
      <c r="G21" s="250">
        <f t="shared" si="3"/>
        <v>345000</v>
      </c>
      <c r="H21" s="282">
        <f>80157+54351+154338+56154</f>
        <v>345000</v>
      </c>
      <c r="I21" s="333"/>
      <c r="J21" s="282"/>
      <c r="K21" s="282"/>
      <c r="L21" s="282"/>
      <c r="M21" s="282">
        <f>517500+5111803+2</f>
        <v>5629305</v>
      </c>
      <c r="N21" s="305">
        <f>1047</f>
        <v>1047</v>
      </c>
      <c r="O21" s="290"/>
    </row>
    <row r="22" spans="1:15" ht="78" customHeight="1" hidden="1">
      <c r="A22" s="254">
        <v>3</v>
      </c>
      <c r="B22" s="294" t="s">
        <v>351</v>
      </c>
      <c r="C22" s="248" t="s">
        <v>351</v>
      </c>
      <c r="D22" s="211">
        <v>605</v>
      </c>
      <c r="E22" s="87" t="s">
        <v>301</v>
      </c>
      <c r="F22" s="141">
        <f t="shared" si="5"/>
        <v>0</v>
      </c>
      <c r="G22" s="250">
        <f t="shared" si="3"/>
        <v>0</v>
      </c>
      <c r="H22" s="282"/>
      <c r="I22" s="333"/>
      <c r="J22" s="282"/>
      <c r="K22" s="282"/>
      <c r="L22" s="282"/>
      <c r="M22" s="282"/>
      <c r="N22" s="305"/>
      <c r="O22" s="290" t="s">
        <v>193</v>
      </c>
    </row>
    <row r="23" spans="1:15" ht="135" customHeight="1">
      <c r="A23" s="254">
        <v>3</v>
      </c>
      <c r="B23" s="302">
        <v>700</v>
      </c>
      <c r="C23" s="303">
        <v>70005</v>
      </c>
      <c r="D23" s="306">
        <v>6050</v>
      </c>
      <c r="E23" s="235" t="s">
        <v>8</v>
      </c>
      <c r="F23" s="141">
        <f t="shared" si="5"/>
        <v>124600</v>
      </c>
      <c r="G23" s="250">
        <f t="shared" si="3"/>
        <v>124600</v>
      </c>
      <c r="H23" s="282">
        <f>2!N58-18235</f>
        <v>106365</v>
      </c>
      <c r="I23" s="333"/>
      <c r="J23" s="281"/>
      <c r="K23" s="281"/>
      <c r="L23" s="282">
        <v>18235</v>
      </c>
      <c r="M23" s="305"/>
      <c r="N23" s="282"/>
      <c r="O23" s="375" t="s">
        <v>194</v>
      </c>
    </row>
    <row r="24" spans="1:15" ht="25.5" customHeight="1" hidden="1">
      <c r="A24" s="254">
        <v>6</v>
      </c>
      <c r="B24" s="302">
        <v>700</v>
      </c>
      <c r="C24" s="303">
        <v>70005</v>
      </c>
      <c r="D24" s="306">
        <v>6060</v>
      </c>
      <c r="E24" s="319" t="s">
        <v>579</v>
      </c>
      <c r="F24" s="141">
        <f t="shared" si="5"/>
        <v>0</v>
      </c>
      <c r="G24" s="250">
        <f t="shared" si="3"/>
        <v>0</v>
      </c>
      <c r="H24" s="282">
        <f>2!N59</f>
        <v>0</v>
      </c>
      <c r="I24" s="333"/>
      <c r="J24" s="281"/>
      <c r="K24" s="281"/>
      <c r="L24" s="282"/>
      <c r="M24" s="305"/>
      <c r="N24" s="282"/>
      <c r="O24" s="375" t="s">
        <v>194</v>
      </c>
    </row>
    <row r="25" spans="1:15" ht="70.5" customHeight="1">
      <c r="A25" s="254">
        <v>4</v>
      </c>
      <c r="B25" s="307">
        <v>750</v>
      </c>
      <c r="C25" s="292">
        <v>75020</v>
      </c>
      <c r="D25" s="248">
        <v>606</v>
      </c>
      <c r="E25" s="85" t="s">
        <v>284</v>
      </c>
      <c r="F25" s="141">
        <f t="shared" si="5"/>
        <v>151000</v>
      </c>
      <c r="G25" s="250">
        <f t="shared" si="3"/>
        <v>51000</v>
      </c>
      <c r="H25" s="282">
        <v>51000</v>
      </c>
      <c r="I25" s="333"/>
      <c r="J25" s="281"/>
      <c r="K25" s="281"/>
      <c r="L25" s="282"/>
      <c r="M25" s="305">
        <v>50000</v>
      </c>
      <c r="N25" s="282">
        <v>50000</v>
      </c>
      <c r="O25" s="375" t="s">
        <v>194</v>
      </c>
    </row>
    <row r="26" spans="1:15" ht="96">
      <c r="A26" s="380">
        <v>5</v>
      </c>
      <c r="B26" s="302"/>
      <c r="C26" s="303"/>
      <c r="D26" s="251">
        <v>605</v>
      </c>
      <c r="E26" s="298" t="s">
        <v>707</v>
      </c>
      <c r="F26" s="141">
        <f t="shared" si="5"/>
        <v>155000</v>
      </c>
      <c r="G26" s="250">
        <f t="shared" si="3"/>
        <v>155000</v>
      </c>
      <c r="H26" s="282">
        <f>2!N155</f>
        <v>155000</v>
      </c>
      <c r="I26" s="333"/>
      <c r="J26" s="281"/>
      <c r="K26" s="281"/>
      <c r="L26" s="282"/>
      <c r="M26" s="305"/>
      <c r="N26" s="282"/>
      <c r="O26" s="375" t="s">
        <v>194</v>
      </c>
    </row>
    <row r="27" spans="1:15" ht="72">
      <c r="A27" s="380">
        <v>6</v>
      </c>
      <c r="B27" s="302">
        <v>852</v>
      </c>
      <c r="C27" s="303">
        <v>85214</v>
      </c>
      <c r="D27" s="251">
        <v>605</v>
      </c>
      <c r="E27" s="298" t="s">
        <v>289</v>
      </c>
      <c r="F27" s="141">
        <f t="shared" si="5"/>
        <v>24000</v>
      </c>
      <c r="G27" s="250">
        <f t="shared" si="3"/>
        <v>24000</v>
      </c>
      <c r="H27" s="282">
        <v>24000</v>
      </c>
      <c r="I27" s="333"/>
      <c r="J27" s="281"/>
      <c r="K27" s="281"/>
      <c r="L27" s="282"/>
      <c r="M27" s="305"/>
      <c r="N27" s="282"/>
      <c r="O27" s="375" t="s">
        <v>714</v>
      </c>
    </row>
    <row r="28" spans="1:15" ht="70.5" customHeight="1" hidden="1">
      <c r="A28" s="380">
        <v>10</v>
      </c>
      <c r="B28" s="294">
        <v>758</v>
      </c>
      <c r="C28" s="142">
        <v>75818</v>
      </c>
      <c r="D28" s="248">
        <v>680</v>
      </c>
      <c r="E28" s="297" t="s">
        <v>380</v>
      </c>
      <c r="F28" s="308">
        <f t="shared" si="5"/>
        <v>0</v>
      </c>
      <c r="G28" s="250">
        <f t="shared" si="3"/>
        <v>0</v>
      </c>
      <c r="H28" s="282">
        <f>2!N200</f>
        <v>0</v>
      </c>
      <c r="I28" s="333"/>
      <c r="J28" s="281"/>
      <c r="K28" s="281"/>
      <c r="L28" s="282"/>
      <c r="M28" s="309"/>
      <c r="N28" s="282"/>
      <c r="O28" s="375" t="s">
        <v>194</v>
      </c>
    </row>
    <row r="29" spans="1:15" ht="168.75">
      <c r="A29" s="380">
        <v>7</v>
      </c>
      <c r="B29" s="300" t="s">
        <v>712</v>
      </c>
      <c r="C29" s="248">
        <v>80130</v>
      </c>
      <c r="D29" s="248">
        <v>605</v>
      </c>
      <c r="E29" s="299" t="s">
        <v>287</v>
      </c>
      <c r="F29" s="141">
        <f t="shared" si="5"/>
        <v>5500000</v>
      </c>
      <c r="G29" s="250">
        <f t="shared" si="3"/>
        <v>550000</v>
      </c>
      <c r="H29" s="282">
        <v>110000</v>
      </c>
      <c r="I29" s="333"/>
      <c r="J29" s="281"/>
      <c r="K29" s="281">
        <v>110000</v>
      </c>
      <c r="L29" s="282">
        <v>330000</v>
      </c>
      <c r="M29" s="305">
        <v>4950000</v>
      </c>
      <c r="N29" s="282"/>
      <c r="O29" s="375" t="s">
        <v>194</v>
      </c>
    </row>
    <row r="30" spans="1:15" ht="33.75">
      <c r="A30" s="380">
        <v>8</v>
      </c>
      <c r="B30" s="300" t="s">
        <v>712</v>
      </c>
      <c r="C30" s="248"/>
      <c r="D30" s="248">
        <v>605</v>
      </c>
      <c r="E30" s="336" t="s">
        <v>706</v>
      </c>
      <c r="F30" s="308">
        <f t="shared" si="5"/>
        <v>120000</v>
      </c>
      <c r="G30" s="250">
        <f t="shared" si="3"/>
        <v>120000</v>
      </c>
      <c r="H30" s="282">
        <v>30000</v>
      </c>
      <c r="I30" s="333"/>
      <c r="J30" s="281"/>
      <c r="K30" s="281">
        <v>90000</v>
      </c>
      <c r="L30" s="282"/>
      <c r="M30" s="309"/>
      <c r="N30" s="282"/>
      <c r="O30" s="375" t="s">
        <v>299</v>
      </c>
    </row>
    <row r="31" spans="1:15" ht="78.75">
      <c r="A31" s="381">
        <v>9</v>
      </c>
      <c r="B31" s="294">
        <v>801</v>
      </c>
      <c r="C31" s="248">
        <v>80130</v>
      </c>
      <c r="D31" s="248">
        <v>605</v>
      </c>
      <c r="E31" s="299" t="s">
        <v>300</v>
      </c>
      <c r="F31" s="141">
        <f t="shared" si="5"/>
        <v>6100000</v>
      </c>
      <c r="G31" s="250">
        <f t="shared" si="3"/>
        <v>0</v>
      </c>
      <c r="H31" s="282"/>
      <c r="I31" s="333"/>
      <c r="J31" s="281"/>
      <c r="K31" s="281"/>
      <c r="L31" s="282"/>
      <c r="M31" s="305">
        <v>122000</v>
      </c>
      <c r="N31" s="282">
        <v>5978000</v>
      </c>
      <c r="O31" s="375" t="s">
        <v>194</v>
      </c>
    </row>
    <row r="32" spans="1:15" ht="112.5">
      <c r="A32" s="381">
        <v>10</v>
      </c>
      <c r="B32" s="294"/>
      <c r="C32" s="248">
        <v>80102</v>
      </c>
      <c r="D32" s="248"/>
      <c r="E32" s="297" t="s">
        <v>580</v>
      </c>
      <c r="F32" s="141">
        <f>11965+G32</f>
        <v>187865</v>
      </c>
      <c r="G32" s="250">
        <f t="shared" si="3"/>
        <v>175900</v>
      </c>
      <c r="H32" s="282"/>
      <c r="I32" s="333"/>
      <c r="J32" s="281">
        <v>175900</v>
      </c>
      <c r="K32" s="281"/>
      <c r="L32" s="282"/>
      <c r="M32" s="305"/>
      <c r="N32" s="282"/>
      <c r="O32" s="375" t="s">
        <v>194</v>
      </c>
    </row>
    <row r="33" spans="1:15" ht="22.5">
      <c r="A33" s="381">
        <v>11</v>
      </c>
      <c r="B33" s="294">
        <v>853</v>
      </c>
      <c r="C33" s="248">
        <v>85395</v>
      </c>
      <c r="D33" s="248"/>
      <c r="E33" s="299" t="s">
        <v>705</v>
      </c>
      <c r="F33" s="141">
        <f aca="true" t="shared" si="6" ref="F33:F38">G33+M33+N33</f>
        <v>4000</v>
      </c>
      <c r="G33" s="250">
        <f t="shared" si="3"/>
        <v>4000</v>
      </c>
      <c r="H33" s="282"/>
      <c r="I33" s="333"/>
      <c r="J33" s="281"/>
      <c r="K33" s="281"/>
      <c r="L33" s="282">
        <v>4000</v>
      </c>
      <c r="M33" s="305"/>
      <c r="N33" s="282"/>
      <c r="O33" s="375" t="s">
        <v>194</v>
      </c>
    </row>
    <row r="34" spans="1:15" ht="45">
      <c r="A34" s="381">
        <v>12</v>
      </c>
      <c r="B34" s="294">
        <v>851</v>
      </c>
      <c r="C34" s="248">
        <v>85111</v>
      </c>
      <c r="D34" s="248"/>
      <c r="E34" s="299" t="s">
        <v>330</v>
      </c>
      <c r="F34" s="141">
        <f t="shared" si="6"/>
        <v>1500000</v>
      </c>
      <c r="G34" s="250">
        <f t="shared" si="3"/>
        <v>1500000</v>
      </c>
      <c r="H34" s="282"/>
      <c r="I34" s="333"/>
      <c r="J34" s="281">
        <v>1500000</v>
      </c>
      <c r="K34" s="281"/>
      <c r="L34" s="282"/>
      <c r="M34" s="305"/>
      <c r="N34" s="282"/>
      <c r="O34" s="375" t="s">
        <v>194</v>
      </c>
    </row>
    <row r="35" spans="1:15" ht="89.25">
      <c r="A35" s="380">
        <v>13</v>
      </c>
      <c r="B35" s="300" t="s">
        <v>282</v>
      </c>
      <c r="C35" s="142">
        <v>85201</v>
      </c>
      <c r="D35" s="248">
        <v>605</v>
      </c>
      <c r="E35" s="301" t="s">
        <v>581</v>
      </c>
      <c r="F35" s="141">
        <f t="shared" si="6"/>
        <v>490000</v>
      </c>
      <c r="G35" s="250">
        <f t="shared" si="3"/>
        <v>30000</v>
      </c>
      <c r="H35" s="282">
        <v>30000</v>
      </c>
      <c r="I35" s="333"/>
      <c r="J35" s="281"/>
      <c r="K35" s="281"/>
      <c r="L35" s="282"/>
      <c r="M35" s="305">
        <v>460000</v>
      </c>
      <c r="N35" s="282"/>
      <c r="O35" s="375" t="s">
        <v>194</v>
      </c>
    </row>
    <row r="36" spans="1:15" ht="165.75" customHeight="1" hidden="1">
      <c r="A36" s="380">
        <v>21</v>
      </c>
      <c r="B36" s="300" t="s">
        <v>282</v>
      </c>
      <c r="C36" s="142">
        <v>85201</v>
      </c>
      <c r="D36" s="248">
        <v>605</v>
      </c>
      <c r="E36" s="301" t="s">
        <v>286</v>
      </c>
      <c r="F36" s="141">
        <f t="shared" si="6"/>
        <v>0</v>
      </c>
      <c r="G36" s="250">
        <f t="shared" si="3"/>
        <v>0</v>
      </c>
      <c r="H36" s="282"/>
      <c r="I36" s="333"/>
      <c r="J36" s="281"/>
      <c r="K36" s="281"/>
      <c r="L36" s="282"/>
      <c r="M36" s="305"/>
      <c r="N36" s="282"/>
      <c r="O36" s="375" t="s">
        <v>194</v>
      </c>
    </row>
    <row r="37" spans="1:15" ht="114.75">
      <c r="A37" s="380">
        <v>14</v>
      </c>
      <c r="B37" s="300"/>
      <c r="C37" s="142">
        <v>85202</v>
      </c>
      <c r="D37" s="248">
        <v>605</v>
      </c>
      <c r="E37" s="63" t="s">
        <v>427</v>
      </c>
      <c r="F37" s="308">
        <f t="shared" si="6"/>
        <v>3071714</v>
      </c>
      <c r="G37" s="250">
        <f t="shared" si="3"/>
        <v>3071714</v>
      </c>
      <c r="H37" s="282">
        <v>589400</v>
      </c>
      <c r="I37" s="333"/>
      <c r="J37" s="281"/>
      <c r="K37" s="281">
        <v>485700</v>
      </c>
      <c r="L37" s="282">
        <v>1996614</v>
      </c>
      <c r="M37" s="309"/>
      <c r="N37" s="282"/>
      <c r="O37" s="375" t="s">
        <v>329</v>
      </c>
    </row>
    <row r="38" spans="1:15" ht="140.25">
      <c r="A38" s="254">
        <v>15</v>
      </c>
      <c r="B38" s="377" t="s">
        <v>245</v>
      </c>
      <c r="C38" s="331"/>
      <c r="D38" s="294"/>
      <c r="E38" s="304" t="s">
        <v>708</v>
      </c>
      <c r="F38" s="141">
        <f t="shared" si="6"/>
        <v>20000</v>
      </c>
      <c r="G38" s="250">
        <f t="shared" si="3"/>
        <v>20000</v>
      </c>
      <c r="H38" s="282"/>
      <c r="I38" s="333"/>
      <c r="J38" s="281"/>
      <c r="K38" s="281">
        <v>20000</v>
      </c>
      <c r="L38" s="282"/>
      <c r="M38" s="305"/>
      <c r="N38" s="282"/>
      <c r="O38" s="375" t="s">
        <v>194</v>
      </c>
    </row>
    <row r="39" spans="1:15" ht="38.25">
      <c r="A39" s="254">
        <v>16</v>
      </c>
      <c r="B39" s="377" t="s">
        <v>245</v>
      </c>
      <c r="C39" s="564"/>
      <c r="D39" s="565"/>
      <c r="E39" s="304" t="s">
        <v>709</v>
      </c>
      <c r="F39" s="141">
        <f>G39+M39+N39</f>
        <v>200000</v>
      </c>
      <c r="G39" s="250">
        <f t="shared" si="3"/>
        <v>200000</v>
      </c>
      <c r="H39" s="282"/>
      <c r="I39" s="333"/>
      <c r="J39" s="281"/>
      <c r="K39" s="281">
        <v>200000</v>
      </c>
      <c r="L39" s="282"/>
      <c r="M39" s="305"/>
      <c r="N39" s="282"/>
      <c r="O39" s="375" t="s">
        <v>194</v>
      </c>
    </row>
    <row r="40" spans="1:15" ht="89.25" customHeight="1" hidden="1">
      <c r="A40" s="254"/>
      <c r="B40" s="378" t="s">
        <v>217</v>
      </c>
      <c r="C40" s="581"/>
      <c r="D40" s="582"/>
      <c r="E40" s="297" t="s">
        <v>350</v>
      </c>
      <c r="F40" s="308">
        <f>G40+M40+N40</f>
        <v>0</v>
      </c>
      <c r="G40" s="250">
        <f t="shared" si="3"/>
        <v>0</v>
      </c>
      <c r="H40" s="282"/>
      <c r="I40" s="333"/>
      <c r="J40" s="281"/>
      <c r="K40" s="281"/>
      <c r="L40" s="282"/>
      <c r="M40" s="309"/>
      <c r="N40" s="282"/>
      <c r="O40" s="375" t="s">
        <v>194</v>
      </c>
    </row>
    <row r="41" spans="1:15" ht="22.5" customHeight="1">
      <c r="A41" s="254"/>
      <c r="B41" s="578" t="s">
        <v>390</v>
      </c>
      <c r="C41" s="579"/>
      <c r="D41" s="579"/>
      <c r="E41" s="579"/>
      <c r="F41" s="282">
        <f aca="true" t="shared" si="7" ref="F41:N41">SUM(F11:F40)-F18</f>
        <v>56403890</v>
      </c>
      <c r="G41" s="282">
        <f t="shared" si="7"/>
        <v>18672728</v>
      </c>
      <c r="H41" s="282">
        <f t="shared" si="7"/>
        <v>8585924</v>
      </c>
      <c r="I41" s="282">
        <f t="shared" si="7"/>
        <v>3600000</v>
      </c>
      <c r="J41" s="282">
        <f t="shared" si="7"/>
        <v>1675900</v>
      </c>
      <c r="K41" s="282">
        <f t="shared" si="7"/>
        <v>988575</v>
      </c>
      <c r="L41" s="282">
        <f t="shared" si="7"/>
        <v>3822329</v>
      </c>
      <c r="M41" s="282">
        <f t="shared" si="7"/>
        <v>25002191</v>
      </c>
      <c r="N41" s="282">
        <f t="shared" si="7"/>
        <v>12717006</v>
      </c>
      <c r="O41" s="376" t="s">
        <v>482</v>
      </c>
    </row>
    <row r="42" spans="1:15" ht="42.75" customHeight="1">
      <c r="A42" s="567" t="s">
        <v>721</v>
      </c>
      <c r="B42" s="568"/>
      <c r="C42" s="568"/>
      <c r="D42" s="568"/>
      <c r="E42" s="569"/>
      <c r="F42" s="248"/>
      <c r="G42" s="106">
        <f>G41-K41</f>
        <v>17684153</v>
      </c>
      <c r="H42" s="248"/>
      <c r="I42" s="334"/>
      <c r="J42" s="248"/>
      <c r="K42" s="248"/>
      <c r="L42" s="248"/>
      <c r="M42" s="290"/>
      <c r="N42" s="248"/>
      <c r="O42" s="290"/>
    </row>
    <row r="46" ht="12.75">
      <c r="H46" s="280"/>
    </row>
    <row r="47" ht="12.75">
      <c r="H47" s="280"/>
    </row>
    <row r="48" ht="12.75">
      <c r="H48" s="280"/>
    </row>
    <row r="49" ht="12.75">
      <c r="L49" s="280"/>
    </row>
  </sheetData>
  <sheetProtection/>
  <mergeCells count="22">
    <mergeCell ref="O3:O7"/>
    <mergeCell ref="G4:G7"/>
    <mergeCell ref="I5:I7"/>
    <mergeCell ref="K5:K7"/>
    <mergeCell ref="N4:N7"/>
    <mergeCell ref="H4:L4"/>
    <mergeCell ref="H5:H7"/>
    <mergeCell ref="F3:F7"/>
    <mergeCell ref="A42:E42"/>
    <mergeCell ref="B1:O1"/>
    <mergeCell ref="B3:B7"/>
    <mergeCell ref="C3:C7"/>
    <mergeCell ref="E3:E7"/>
    <mergeCell ref="G3:N3"/>
    <mergeCell ref="L5:L7"/>
    <mergeCell ref="J5:J7"/>
    <mergeCell ref="M4:M7"/>
    <mergeCell ref="A3:A7"/>
    <mergeCell ref="B41:E41"/>
    <mergeCell ref="D3:D7"/>
    <mergeCell ref="C40:D40"/>
    <mergeCell ref="C39:D39"/>
  </mergeCells>
  <printOptions horizontalCentered="1"/>
  <pageMargins left="0.5905511811023623" right="0.5905511811023623" top="1.1811023622047245" bottom="0.5905511811023623" header="0.5118110236220472" footer="0.5118110236220472"/>
  <pageSetup firstPageNumber="43" useFirstPageNumber="1" horizontalDpi="600" verticalDpi="600" orientation="landscape" paperSize="9" scale="80" r:id="rId1"/>
  <headerFooter alignWithMargins="0">
    <oddHeader>&amp;R&amp;9Załącznik nr 3
do uchwały Zarządu Powiatu 
nr 260/09
z dnia 9.11.2009 r.</oddHeader>
    <oddFooter>&amp;C&amp;P</oddFooter>
  </headerFooter>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B1">
      <selection activeCell="C33" sqref="C33:D33"/>
    </sheetView>
  </sheetViews>
  <sheetFormatPr defaultColWidth="9.00390625" defaultRowHeight="12.75"/>
  <cols>
    <col min="1" max="1" width="7.625" style="249" bestFit="1" customWidth="1"/>
    <col min="2" max="2" width="6.875" style="249" customWidth="1"/>
    <col min="3" max="3" width="7.75390625" style="249" customWidth="1"/>
    <col min="4" max="4" width="6.25390625" style="220" customWidth="1"/>
    <col min="5" max="5" width="17.875" style="249" customWidth="1"/>
    <col min="6" max="6" width="12.00390625" style="280" customWidth="1"/>
    <col min="7" max="7" width="12.75390625" style="280" customWidth="1"/>
    <col min="8" max="8" width="10.125" style="280" customWidth="1"/>
    <col min="9" max="9" width="11.25390625" style="280" bestFit="1" customWidth="1"/>
    <col min="10" max="10" width="13.125" style="280" customWidth="1"/>
    <col min="11" max="11" width="11.125" style="280" customWidth="1"/>
    <col min="12" max="12" width="22.625" style="249" customWidth="1"/>
    <col min="13" max="13" width="9.125" style="249" customWidth="1"/>
    <col min="14" max="14" width="10.125" style="249" bestFit="1" customWidth="1"/>
    <col min="15" max="16384" width="9.125" style="249" customWidth="1"/>
  </cols>
  <sheetData>
    <row r="1" spans="3:12" ht="18">
      <c r="C1" s="12"/>
      <c r="D1" s="218"/>
      <c r="E1" s="12"/>
      <c r="F1" s="213" t="s">
        <v>717</v>
      </c>
      <c r="G1" s="12"/>
      <c r="H1" s="12"/>
      <c r="I1" s="12"/>
      <c r="J1" s="12"/>
      <c r="K1" s="12"/>
      <c r="L1" s="12"/>
    </row>
    <row r="2" spans="2:12" ht="10.5" customHeight="1">
      <c r="B2" s="12"/>
      <c r="C2" s="12"/>
      <c r="D2" s="218"/>
      <c r="E2" s="12"/>
      <c r="F2" s="86"/>
      <c r="G2" s="86"/>
      <c r="H2" s="86"/>
      <c r="I2" s="86"/>
      <c r="J2" s="86"/>
      <c r="K2" s="86"/>
      <c r="L2" s="8" t="s">
        <v>476</v>
      </c>
    </row>
    <row r="3" spans="1:12" s="35" customFormat="1" ht="12.75">
      <c r="A3" s="441" t="s">
        <v>391</v>
      </c>
      <c r="B3" s="602" t="s">
        <v>437</v>
      </c>
      <c r="C3" s="580" t="s">
        <v>475</v>
      </c>
      <c r="D3" s="562" t="s">
        <v>563</v>
      </c>
      <c r="E3" s="566" t="s">
        <v>587</v>
      </c>
      <c r="F3" s="560" t="s">
        <v>376</v>
      </c>
      <c r="G3" s="560" t="s">
        <v>716</v>
      </c>
      <c r="H3" s="560"/>
      <c r="I3" s="560"/>
      <c r="J3" s="560"/>
      <c r="K3" s="560"/>
      <c r="L3" s="566" t="s">
        <v>564</v>
      </c>
    </row>
    <row r="4" spans="1:12" s="35" customFormat="1" ht="12.75">
      <c r="A4" s="600"/>
      <c r="B4" s="602"/>
      <c r="C4" s="580"/>
      <c r="D4" s="562"/>
      <c r="E4" s="566"/>
      <c r="F4" s="560"/>
      <c r="G4" s="560" t="s">
        <v>715</v>
      </c>
      <c r="H4" s="560" t="s">
        <v>633</v>
      </c>
      <c r="I4" s="560"/>
      <c r="J4" s="560"/>
      <c r="K4" s="560"/>
      <c r="L4" s="566"/>
    </row>
    <row r="5" spans="1:12" s="35" customFormat="1" ht="12.75" customHeight="1">
      <c r="A5" s="600"/>
      <c r="B5" s="602"/>
      <c r="C5" s="580"/>
      <c r="D5" s="562"/>
      <c r="E5" s="566"/>
      <c r="F5" s="560"/>
      <c r="G5" s="560"/>
      <c r="H5" s="560" t="s">
        <v>565</v>
      </c>
      <c r="I5" s="566" t="str">
        <f>3!I5:I7</f>
        <v>obligacje,wolne środki
i pożyczki</v>
      </c>
      <c r="J5" s="560" t="str">
        <f>3!K5:K7</f>
        <v>Fundusze   celowe </v>
      </c>
      <c r="K5" s="563" t="str">
        <f>3!L5:L7</f>
        <v>środki  UE  lub  kredyty planowane   pod  współfinansowanie  z UE ,  kredyty</v>
      </c>
      <c r="L5" s="566"/>
    </row>
    <row r="6" spans="1:12" s="35" customFormat="1" ht="12.75">
      <c r="A6" s="600"/>
      <c r="B6" s="602"/>
      <c r="C6" s="580"/>
      <c r="D6" s="562"/>
      <c r="E6" s="566"/>
      <c r="F6" s="560"/>
      <c r="G6" s="560"/>
      <c r="H6" s="560"/>
      <c r="I6" s="566"/>
      <c r="J6" s="560"/>
      <c r="K6" s="563"/>
      <c r="L6" s="566"/>
    </row>
    <row r="7" spans="1:12" s="35" customFormat="1" ht="91.5" customHeight="1">
      <c r="A7" s="601"/>
      <c r="B7" s="602"/>
      <c r="C7" s="580"/>
      <c r="D7" s="562"/>
      <c r="E7" s="566"/>
      <c r="F7" s="560"/>
      <c r="G7" s="560"/>
      <c r="H7" s="560"/>
      <c r="I7" s="566"/>
      <c r="J7" s="560"/>
      <c r="K7" s="563"/>
      <c r="L7" s="566"/>
    </row>
    <row r="8" spans="1:12" ht="12.75">
      <c r="A8" s="228">
        <v>1</v>
      </c>
      <c r="B8" s="225">
        <v>2</v>
      </c>
      <c r="C8" s="16">
        <v>3</v>
      </c>
      <c r="D8" s="16">
        <v>4</v>
      </c>
      <c r="E8" s="16">
        <v>5</v>
      </c>
      <c r="F8" s="84">
        <v>6</v>
      </c>
      <c r="G8" s="209">
        <v>7</v>
      </c>
      <c r="H8" s="84">
        <v>8</v>
      </c>
      <c r="I8" s="84">
        <v>9</v>
      </c>
      <c r="J8" s="84">
        <v>10</v>
      </c>
      <c r="K8" s="84">
        <v>11</v>
      </c>
      <c r="L8" s="16">
        <v>12</v>
      </c>
    </row>
    <row r="9" spans="1:12" ht="157.5">
      <c r="A9" s="248">
        <v>1</v>
      </c>
      <c r="B9" s="226">
        <v>600</v>
      </c>
      <c r="C9" s="248">
        <v>60014</v>
      </c>
      <c r="D9" s="211">
        <v>605</v>
      </c>
      <c r="E9" s="291" t="s">
        <v>386</v>
      </c>
      <c r="F9" s="224">
        <f aca="true" t="shared" si="0" ref="F9:K9">SUM(F11:F13)</f>
        <v>9116400</v>
      </c>
      <c r="G9" s="224">
        <f t="shared" si="0"/>
        <v>9116400</v>
      </c>
      <c r="H9" s="224">
        <f t="shared" si="0"/>
        <v>5516400</v>
      </c>
      <c r="I9" s="224">
        <f t="shared" si="0"/>
        <v>3600000</v>
      </c>
      <c r="J9" s="224">
        <f t="shared" si="0"/>
        <v>0</v>
      </c>
      <c r="K9" s="224">
        <f t="shared" si="0"/>
        <v>0</v>
      </c>
      <c r="L9" s="292" t="s">
        <v>379</v>
      </c>
    </row>
    <row r="10" spans="1:12" ht="12.75">
      <c r="A10" s="248"/>
      <c r="B10" s="225"/>
      <c r="C10" s="16"/>
      <c r="D10" s="16"/>
      <c r="E10" s="63" t="s">
        <v>385</v>
      </c>
      <c r="F10" s="84"/>
      <c r="G10" s="209"/>
      <c r="H10" s="84"/>
      <c r="I10" s="84"/>
      <c r="J10" s="84"/>
      <c r="K10" s="84"/>
      <c r="L10" s="16"/>
    </row>
    <row r="11" spans="1:12" ht="108">
      <c r="A11" s="254"/>
      <c r="B11" s="226"/>
      <c r="C11" s="248"/>
      <c r="D11" s="211"/>
      <c r="E11" s="87" t="str">
        <f>3!E11</f>
        <v>Przebudowa   drogi  powiatowej  nr  2037C  Dobrzejewice-Świętosław-Mazowsze  w km 0+000 : 7+432 oraz   10+982 :11+551 na łączną  dł.8,001 km</v>
      </c>
      <c r="F11" s="141">
        <f>G11</f>
        <v>4520000</v>
      </c>
      <c r="G11" s="209">
        <f aca="true" t="shared" si="1" ref="G11:G24">SUM(H11:K11)</f>
        <v>4520000</v>
      </c>
      <c r="H11" s="84">
        <f>3!H11</f>
        <v>2757200</v>
      </c>
      <c r="I11" s="84">
        <f>3!I11</f>
        <v>1762800</v>
      </c>
      <c r="J11" s="84"/>
      <c r="K11" s="84"/>
      <c r="L11" s="251" t="s">
        <v>378</v>
      </c>
    </row>
    <row r="12" spans="1:12" ht="60">
      <c r="A12" s="254"/>
      <c r="B12" s="293"/>
      <c r="C12" s="248"/>
      <c r="D12" s="211"/>
      <c r="E12" s="87" t="str">
        <f>3!E12</f>
        <v>Droga 2004 Łążyn-Zarośla  Cienkie -Smolno od km 0+550 do km 1+135 na dł. 0,585 km</v>
      </c>
      <c r="F12" s="141">
        <f>G12</f>
        <v>386400</v>
      </c>
      <c r="G12" s="209">
        <f t="shared" si="1"/>
        <v>386400</v>
      </c>
      <c r="H12" s="16">
        <f>3!H12</f>
        <v>191100</v>
      </c>
      <c r="I12" s="16">
        <f>3!I12</f>
        <v>195300</v>
      </c>
      <c r="J12" s="84"/>
      <c r="K12" s="84"/>
      <c r="L12" s="210" t="s">
        <v>378</v>
      </c>
    </row>
    <row r="13" spans="1:12" ht="156">
      <c r="A13" s="254"/>
      <c r="B13" s="293"/>
      <c r="C13" s="248"/>
      <c r="D13" s="211"/>
      <c r="E13" s="87" t="str">
        <f>3!E14</f>
        <v>Przebudowa ciągu  komunikacyjnego Drogi powiatowej  nr  2009C Brzeźno-Młyniec-Lubicz Górny w km 3+450 : 9+590 oraz  drogi  powiatowej  nr  2035C  Młyniec I-Jedwabno-  Toruń  w km 0+000 : 0+703 na  łączną długość  6,843 km.</v>
      </c>
      <c r="F13" s="141">
        <f>G13</f>
        <v>4210000</v>
      </c>
      <c r="G13" s="229">
        <f t="shared" si="1"/>
        <v>4210000</v>
      </c>
      <c r="H13" s="16">
        <f>3!H14</f>
        <v>2568100</v>
      </c>
      <c r="I13" s="16">
        <f>3!I14</f>
        <v>1641900</v>
      </c>
      <c r="J13" s="84"/>
      <c r="K13" s="84"/>
      <c r="L13" s="210"/>
    </row>
    <row r="14" spans="1:12" ht="72">
      <c r="A14" s="254">
        <v>2</v>
      </c>
      <c r="B14" s="379" t="s">
        <v>713</v>
      </c>
      <c r="C14" s="248">
        <v>60014</v>
      </c>
      <c r="D14" s="211">
        <v>605</v>
      </c>
      <c r="E14" s="87" t="str">
        <f>3!E18</f>
        <v>Poprawa  bezpieczeństwa  na   drogach   publicznych  poprzez wybudowanie   dróg  rowerowych .</v>
      </c>
      <c r="F14" s="141">
        <f>F15+F16+F17</f>
        <v>26501011</v>
      </c>
      <c r="G14" s="229">
        <f t="shared" si="1"/>
        <v>3530114</v>
      </c>
      <c r="H14" s="84">
        <f>SUM(H15:H17)</f>
        <v>1973759</v>
      </c>
      <c r="I14" s="84">
        <f>SUM(I15:I17)</f>
        <v>0</v>
      </c>
      <c r="J14" s="84">
        <f>SUM(J15:J17)</f>
        <v>82875</v>
      </c>
      <c r="K14" s="84">
        <f>SUM(K15:K17)</f>
        <v>1473480</v>
      </c>
      <c r="L14" s="22" t="s">
        <v>378</v>
      </c>
    </row>
    <row r="15" spans="1:12" ht="36">
      <c r="A15" s="254"/>
      <c r="B15" s="293"/>
      <c r="C15" s="248"/>
      <c r="D15" s="211"/>
      <c r="E15" s="87" t="str">
        <f>3!E19</f>
        <v>droga rowerowa: Toruń - Złotoria - Osiek</v>
      </c>
      <c r="F15" s="141">
        <f>373766+G15+3!M19+3!N19</f>
        <v>4852404</v>
      </c>
      <c r="G15" s="229">
        <f>SUM(H15:K15)</f>
        <v>2333301</v>
      </c>
      <c r="H15" s="84">
        <f>3!H19</f>
        <v>776946</v>
      </c>
      <c r="I15" s="16"/>
      <c r="J15" s="84">
        <f>3!K19</f>
        <v>82875</v>
      </c>
      <c r="K15" s="84">
        <f>3!L19</f>
        <v>1473480</v>
      </c>
      <c r="L15" s="22" t="s">
        <v>378</v>
      </c>
    </row>
    <row r="16" spans="1:12" ht="48">
      <c r="A16" s="254"/>
      <c r="B16" s="293"/>
      <c r="C16" s="248"/>
      <c r="D16" s="211"/>
      <c r="E16" s="87" t="str">
        <f>3!E20</f>
        <v>droga rowerowa: Toruń - Chełmża z odgałęzieniem do  m. Kamionki Małe</v>
      </c>
      <c r="F16" s="141">
        <f>74042+G16+3!M20+3!N20</f>
        <v>15639363</v>
      </c>
      <c r="G16" s="229">
        <f>SUM(H16:K16)</f>
        <v>851813</v>
      </c>
      <c r="H16" s="84">
        <f>3!H20</f>
        <v>851813</v>
      </c>
      <c r="I16" s="16"/>
      <c r="J16" s="84"/>
      <c r="K16" s="84"/>
      <c r="L16" s="22" t="s">
        <v>378</v>
      </c>
    </row>
    <row r="17" spans="1:12" ht="33.75">
      <c r="A17" s="254"/>
      <c r="B17" s="293"/>
      <c r="C17" s="248"/>
      <c r="D17" s="211"/>
      <c r="E17" s="291" t="str">
        <f>3!E21</f>
        <v>droga rowerowa: Toruń - Barbarka - Wybcz - Unisław</v>
      </c>
      <c r="F17" s="141">
        <f>33892+G17+3!M21+3!N21</f>
        <v>6009244</v>
      </c>
      <c r="G17" s="229">
        <f>SUM(H17:K17)</f>
        <v>345000</v>
      </c>
      <c r="H17" s="84">
        <f>3!H21</f>
        <v>345000</v>
      </c>
      <c r="I17" s="84"/>
      <c r="J17" s="84"/>
      <c r="K17" s="84"/>
      <c r="L17" s="22" t="s">
        <v>378</v>
      </c>
    </row>
    <row r="18" spans="1:14" ht="12.75" hidden="1">
      <c r="A18" s="248">
        <v>2</v>
      </c>
      <c r="B18" s="294"/>
      <c r="C18" s="248"/>
      <c r="D18" s="295">
        <v>605</v>
      </c>
      <c r="E18" s="87" t="str">
        <f>3!E22</f>
        <v>Budowa  chodników </v>
      </c>
      <c r="F18" s="351"/>
      <c r="G18" s="250">
        <f>SUM(H18:K18)</f>
        <v>0</v>
      </c>
      <c r="H18" s="282">
        <f>3!H22</f>
        <v>0</v>
      </c>
      <c r="I18" s="282"/>
      <c r="J18" s="282"/>
      <c r="K18" s="282"/>
      <c r="L18" s="22" t="s">
        <v>378</v>
      </c>
      <c r="N18" s="1" t="s">
        <v>347</v>
      </c>
    </row>
    <row r="19" spans="1:12" ht="25.5">
      <c r="A19" s="248">
        <v>3</v>
      </c>
      <c r="B19" s="294">
        <v>700</v>
      </c>
      <c r="C19" s="248">
        <v>70005</v>
      </c>
      <c r="D19" s="219">
        <v>6060</v>
      </c>
      <c r="E19" s="235" t="str">
        <f>3!E23</f>
        <v>Inwestycje   w  zasobach   powiatu </v>
      </c>
      <c r="F19" s="282">
        <f>G19</f>
        <v>124600</v>
      </c>
      <c r="G19" s="250">
        <f t="shared" si="1"/>
        <v>124600</v>
      </c>
      <c r="H19" s="282">
        <f>3!H23</f>
        <v>106365</v>
      </c>
      <c r="I19" s="282"/>
      <c r="J19" s="282"/>
      <c r="K19" s="282">
        <v>18235</v>
      </c>
      <c r="L19" s="292" t="s">
        <v>194</v>
      </c>
    </row>
    <row r="20" spans="1:12" ht="33.75">
      <c r="A20" s="248">
        <v>4</v>
      </c>
      <c r="B20" s="294">
        <v>750</v>
      </c>
      <c r="C20" s="248">
        <v>75020</v>
      </c>
      <c r="D20" s="228">
        <v>6050</v>
      </c>
      <c r="E20" s="297" t="s">
        <v>392</v>
      </c>
      <c r="F20" s="282">
        <f>SUM(G20)</f>
        <v>51000</v>
      </c>
      <c r="G20" s="250">
        <f t="shared" si="1"/>
        <v>51000</v>
      </c>
      <c r="H20" s="282">
        <f>3!G25</f>
        <v>51000</v>
      </c>
      <c r="I20" s="282"/>
      <c r="J20" s="281"/>
      <c r="K20" s="282"/>
      <c r="L20" s="292" t="s">
        <v>194</v>
      </c>
    </row>
    <row r="21" spans="1:12" ht="97.5" customHeight="1">
      <c r="A21" s="248">
        <v>5</v>
      </c>
      <c r="B21" s="294">
        <v>750</v>
      </c>
      <c r="C21" s="248">
        <v>75020</v>
      </c>
      <c r="D21" s="219">
        <v>6050</v>
      </c>
      <c r="E21" s="298" t="str">
        <f>3!E26</f>
        <v>Wykończenie  budynku  zajmowanego   na  potrzeby  Starostwa  Powiatowego na  ul. Towarowej  i  inwestycje   w  zasobach  powiatu </v>
      </c>
      <c r="F21" s="282">
        <f>SUM(G21)</f>
        <v>155000</v>
      </c>
      <c r="G21" s="250">
        <f t="shared" si="1"/>
        <v>155000</v>
      </c>
      <c r="H21" s="282">
        <f>3!G26</f>
        <v>155000</v>
      </c>
      <c r="I21" s="282"/>
      <c r="J21" s="281"/>
      <c r="K21" s="282"/>
      <c r="L21" s="292" t="s">
        <v>194</v>
      </c>
    </row>
    <row r="22" spans="1:12" ht="97.5" customHeight="1">
      <c r="A22" s="248">
        <v>6</v>
      </c>
      <c r="B22" s="294">
        <v>852</v>
      </c>
      <c r="C22" s="248">
        <v>85218</v>
      </c>
      <c r="D22" s="219">
        <v>6050</v>
      </c>
      <c r="E22" s="298" t="s">
        <v>288</v>
      </c>
      <c r="F22" s="282">
        <f>SUM(G22)</f>
        <v>24000</v>
      </c>
      <c r="G22" s="250">
        <f t="shared" si="1"/>
        <v>24000</v>
      </c>
      <c r="H22" s="282">
        <f>3!H27</f>
        <v>24000</v>
      </c>
      <c r="I22" s="282"/>
      <c r="J22" s="281"/>
      <c r="K22" s="282"/>
      <c r="L22" s="292" t="s">
        <v>194</v>
      </c>
    </row>
    <row r="23" spans="1:12" ht="33.75" hidden="1">
      <c r="A23" s="248">
        <v>9</v>
      </c>
      <c r="B23" s="294">
        <v>758</v>
      </c>
      <c r="C23" s="248">
        <v>75818</v>
      </c>
      <c r="D23" s="228">
        <v>6800</v>
      </c>
      <c r="E23" s="297" t="s">
        <v>363</v>
      </c>
      <c r="F23" s="282">
        <f>SUM(G23)</f>
        <v>0</v>
      </c>
      <c r="G23" s="250">
        <f t="shared" si="1"/>
        <v>0</v>
      </c>
      <c r="H23" s="282">
        <f>3!H28</f>
        <v>0</v>
      </c>
      <c r="I23" s="282"/>
      <c r="J23" s="281"/>
      <c r="K23" s="282"/>
      <c r="L23" s="292" t="s">
        <v>194</v>
      </c>
    </row>
    <row r="24" spans="1:12" ht="126.75">
      <c r="A24" s="380">
        <v>7</v>
      </c>
      <c r="B24" s="294">
        <v>801</v>
      </c>
      <c r="C24" s="248">
        <v>80130</v>
      </c>
      <c r="D24" s="248">
        <v>6050</v>
      </c>
      <c r="E24" s="337" t="str">
        <f>3!E29</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4" s="282">
        <f>G24+3!M29</f>
        <v>5500000</v>
      </c>
      <c r="G24" s="250">
        <f t="shared" si="1"/>
        <v>550000</v>
      </c>
      <c r="H24" s="282">
        <v>110000</v>
      </c>
      <c r="I24" s="282"/>
      <c r="J24" s="281">
        <v>110000</v>
      </c>
      <c r="K24" s="282">
        <v>330000</v>
      </c>
      <c r="L24" s="292" t="s">
        <v>283</v>
      </c>
    </row>
    <row r="25" spans="1:12" ht="112.5">
      <c r="A25" s="248">
        <v>8</v>
      </c>
      <c r="B25" s="294"/>
      <c r="C25" s="248">
        <v>80102</v>
      </c>
      <c r="D25" s="248"/>
      <c r="E25" s="297" t="str">
        <f>3!E32</f>
        <v>Zagospodarowanie terenów sportowych Szkół  Podstawowych oraz  Gimnazjum   w  Chełmży w tym  zagospodarowanie terenu  sportowego Zespołu  Szkół Specjalnych   w  Chełmży </v>
      </c>
      <c r="F25" s="282">
        <f>G25</f>
        <v>175900</v>
      </c>
      <c r="G25" s="250">
        <f aca="true" t="shared" si="2" ref="G25:G33">SUM(H25:K25)</f>
        <v>175900</v>
      </c>
      <c r="H25" s="282">
        <f>3!H32</f>
        <v>0</v>
      </c>
      <c r="I25" s="282">
        <f>3!J32</f>
        <v>175900</v>
      </c>
      <c r="J25" s="281"/>
      <c r="K25" s="282"/>
      <c r="L25" s="292" t="s">
        <v>194</v>
      </c>
    </row>
    <row r="26" spans="1:12" ht="12.75">
      <c r="A26" s="248">
        <v>9</v>
      </c>
      <c r="B26" s="294"/>
      <c r="C26" s="248">
        <v>80130</v>
      </c>
      <c r="D26" s="248">
        <v>605</v>
      </c>
      <c r="E26" s="297" t="str">
        <f>3!E30</f>
        <v>Internat  w  Gronowie </v>
      </c>
      <c r="F26" s="282">
        <f>G26</f>
        <v>120000</v>
      </c>
      <c r="G26" s="250">
        <f>SUM(H26:K26)</f>
        <v>120000</v>
      </c>
      <c r="H26" s="282">
        <v>30000</v>
      </c>
      <c r="I26" s="282">
        <f>3!I30</f>
        <v>0</v>
      </c>
      <c r="J26" s="281">
        <v>90000</v>
      </c>
      <c r="K26" s="282"/>
      <c r="L26" s="292" t="str">
        <f>3!O30</f>
        <v>Z.SZ. CKU Gronowo</v>
      </c>
    </row>
    <row r="27" spans="1:12" ht="25.5">
      <c r="A27" s="17">
        <v>10</v>
      </c>
      <c r="B27" s="294">
        <v>853</v>
      </c>
      <c r="C27" s="248">
        <v>85395</v>
      </c>
      <c r="D27" s="325" t="s">
        <v>311</v>
      </c>
      <c r="E27" s="299" t="s">
        <v>310</v>
      </c>
      <c r="F27" s="282">
        <f>SUM(G27)</f>
        <v>4000</v>
      </c>
      <c r="G27" s="250">
        <f t="shared" si="2"/>
        <v>4000</v>
      </c>
      <c r="H27" s="282">
        <f>3!H33</f>
        <v>0</v>
      </c>
      <c r="I27" s="282"/>
      <c r="J27" s="281"/>
      <c r="K27" s="282">
        <v>4000</v>
      </c>
      <c r="L27" s="292" t="s">
        <v>194</v>
      </c>
    </row>
    <row r="28" spans="1:12" ht="45">
      <c r="A28" s="248">
        <v>11</v>
      </c>
      <c r="B28" s="294">
        <v>851</v>
      </c>
      <c r="C28" s="248">
        <v>85111</v>
      </c>
      <c r="D28" s="325"/>
      <c r="E28" s="299" t="str">
        <f>3!E34</f>
        <v>Zakup  udziałów w  spółce  Szpital  Powiatowy   w  Chełmży </v>
      </c>
      <c r="F28" s="282">
        <f>SUM(G28)</f>
        <v>1500000</v>
      </c>
      <c r="G28" s="250">
        <f>SUM(H28:K28)</f>
        <v>1500000</v>
      </c>
      <c r="H28" s="282"/>
      <c r="I28" s="282">
        <v>1500000</v>
      </c>
      <c r="J28" s="281"/>
      <c r="K28" s="282"/>
      <c r="L28" s="292" t="s">
        <v>194</v>
      </c>
    </row>
    <row r="29" spans="1:12" ht="90">
      <c r="A29" s="254">
        <v>12</v>
      </c>
      <c r="B29" s="300" t="s">
        <v>282</v>
      </c>
      <c r="C29" s="142">
        <v>85202</v>
      </c>
      <c r="D29" s="248">
        <v>605</v>
      </c>
      <c r="E29" s="297" t="str">
        <f>3!E37</f>
        <v>„ Przebudowa  i  dostosowanie   do  obowiązujących   standardów dla  Domu  Pomocy  Społecznej   budynku  Zespołu   nr   2   DPS   w  Browinie „  .</v>
      </c>
      <c r="F29" s="282">
        <f>G29</f>
        <v>3071714</v>
      </c>
      <c r="G29" s="250">
        <f t="shared" si="2"/>
        <v>3071714</v>
      </c>
      <c r="H29" s="282">
        <f>3!H37</f>
        <v>589400</v>
      </c>
      <c r="I29" s="282"/>
      <c r="J29" s="281">
        <f>3!K37</f>
        <v>485700</v>
      </c>
      <c r="K29" s="282">
        <f>3!L37</f>
        <v>1996614</v>
      </c>
      <c r="L29" s="292" t="str">
        <f>3!O37</f>
        <v>STAROSTWO POWIATOWE  lub   DPS Browina </v>
      </c>
    </row>
    <row r="30" spans="1:12" ht="101.25">
      <c r="A30" s="254">
        <v>13</v>
      </c>
      <c r="B30" s="302"/>
      <c r="C30" s="564" t="s">
        <v>245</v>
      </c>
      <c r="D30" s="565"/>
      <c r="E30" s="299" t="str">
        <f>3!E38</f>
        <v>Zabezpieczenie budynku dawnej chlewni poprzez rozbiórkę pokrycia dachu wykonanego z eternitu oraz demontaż i zabezpieczenie przed dalszą dewastacją więźby dachowej</v>
      </c>
      <c r="F30" s="282">
        <f>SUM(G30)</f>
        <v>20000</v>
      </c>
      <c r="G30" s="250">
        <f>SUM(H30:K30)</f>
        <v>20000</v>
      </c>
      <c r="H30" s="282"/>
      <c r="I30" s="282"/>
      <c r="J30" s="281">
        <v>20000</v>
      </c>
      <c r="K30" s="282"/>
      <c r="L30" s="292" t="s">
        <v>194</v>
      </c>
    </row>
    <row r="31" spans="1:12" ht="51">
      <c r="A31" s="254">
        <v>14</v>
      </c>
      <c r="B31" s="302"/>
      <c r="C31" s="303" t="s">
        <v>217</v>
      </c>
      <c r="D31" s="303"/>
      <c r="E31" s="304" t="str">
        <f>3!E39</f>
        <v>Termomodernizacja budynku warsztatów-kontynuacja</v>
      </c>
      <c r="F31" s="282">
        <f>G31+150000</f>
        <v>350000</v>
      </c>
      <c r="G31" s="250">
        <f t="shared" si="2"/>
        <v>200000</v>
      </c>
      <c r="H31" s="282"/>
      <c r="I31" s="282"/>
      <c r="J31" s="281">
        <v>200000</v>
      </c>
      <c r="K31" s="282"/>
      <c r="L31" s="292" t="s">
        <v>194</v>
      </c>
    </row>
    <row r="32" spans="1:12" ht="89.25">
      <c r="A32" s="254">
        <v>15</v>
      </c>
      <c r="B32" s="248"/>
      <c r="C32" s="564" t="s">
        <v>245</v>
      </c>
      <c r="D32" s="565"/>
      <c r="E32" s="304" t="str">
        <f>3!E35</f>
        <v>Likwidacja    kotłowni  olejowej   w  DPS   Pigża i  wprowadzenie ,  jako  źródła   ciepła  i  ciepłej  wody  -  pompa   ciepła  </v>
      </c>
      <c r="F32" s="282">
        <f>SUM(G32)+3!M35</f>
        <v>490000</v>
      </c>
      <c r="G32" s="250">
        <f t="shared" si="2"/>
        <v>30000</v>
      </c>
      <c r="H32" s="282">
        <v>30000</v>
      </c>
      <c r="I32" s="282"/>
      <c r="J32" s="281"/>
      <c r="K32" s="282"/>
      <c r="L32" s="292" t="s">
        <v>194</v>
      </c>
    </row>
    <row r="33" spans="1:12" ht="54" customHeight="1" hidden="1">
      <c r="A33" s="248">
        <v>28</v>
      </c>
      <c r="B33" s="248"/>
      <c r="C33" s="581" t="s">
        <v>422</v>
      </c>
      <c r="D33" s="582"/>
      <c r="E33" s="297" t="str">
        <f>3!E40</f>
        <v>Regały  przesuwne   dla  potrzeb   zasobu   geodezyjnego,skaner,ksero, klimatyzatory  inne</v>
      </c>
      <c r="F33" s="282">
        <f>SUM(G33)</f>
        <v>0</v>
      </c>
      <c r="G33" s="250">
        <f t="shared" si="2"/>
        <v>0</v>
      </c>
      <c r="H33" s="282"/>
      <c r="I33" s="282"/>
      <c r="J33" s="281">
        <f>3!K40</f>
        <v>0</v>
      </c>
      <c r="K33" s="282"/>
      <c r="L33" s="292" t="s">
        <v>194</v>
      </c>
    </row>
    <row r="34" spans="1:12" ht="16.5" customHeight="1">
      <c r="A34" s="17"/>
      <c r="B34" s="578" t="s">
        <v>390</v>
      </c>
      <c r="C34" s="579"/>
      <c r="D34" s="579"/>
      <c r="E34" s="579"/>
      <c r="F34" s="282">
        <f>SUM(F11:F33)-F14</f>
        <v>47203625</v>
      </c>
      <c r="G34" s="282">
        <f>SUM(G11:G33)-G14</f>
        <v>18672728</v>
      </c>
      <c r="H34" s="282">
        <f>SUM(H11:H33)-H15</f>
        <v>9782737</v>
      </c>
      <c r="I34" s="282">
        <f>SUM(I11:I33)-I15</f>
        <v>5275900</v>
      </c>
      <c r="J34" s="282">
        <f>SUM(J11:J33)-J15</f>
        <v>988575</v>
      </c>
      <c r="K34" s="282">
        <f>SUM(K11:K33)-K15</f>
        <v>3822329</v>
      </c>
      <c r="L34" s="53" t="s">
        <v>482</v>
      </c>
    </row>
    <row r="35" spans="1:12" ht="16.5" customHeight="1">
      <c r="A35" s="382" t="s">
        <v>720</v>
      </c>
      <c r="B35" s="383" t="s">
        <v>718</v>
      </c>
      <c r="C35" s="384"/>
      <c r="D35" s="385"/>
      <c r="E35" s="385"/>
      <c r="F35" s="386"/>
      <c r="G35" s="282"/>
      <c r="H35" s="282"/>
      <c r="I35" s="106">
        <f>I9</f>
        <v>3600000</v>
      </c>
      <c r="J35" s="282"/>
      <c r="K35" s="282"/>
      <c r="L35" s="53"/>
    </row>
    <row r="36" spans="1:12" ht="16.5" customHeight="1">
      <c r="A36" s="331"/>
      <c r="B36" s="561" t="s">
        <v>719</v>
      </c>
      <c r="C36" s="561"/>
      <c r="D36" s="561"/>
      <c r="E36" s="561"/>
      <c r="F36" s="561"/>
      <c r="G36" s="282"/>
      <c r="H36" s="282"/>
      <c r="I36" s="106">
        <f>I25+I28</f>
        <v>1675900</v>
      </c>
      <c r="J36" s="282"/>
      <c r="K36" s="282"/>
      <c r="L36" s="53"/>
    </row>
    <row r="37" spans="1:12" ht="27" customHeight="1">
      <c r="A37" s="567" t="s">
        <v>721</v>
      </c>
      <c r="B37" s="568"/>
      <c r="C37" s="568"/>
      <c r="D37" s="568"/>
      <c r="E37" s="569"/>
      <c r="F37" s="282"/>
      <c r="G37" s="106">
        <f>G34-J34</f>
        <v>17684153</v>
      </c>
      <c r="H37" s="282"/>
      <c r="I37" s="282"/>
      <c r="J37" s="282"/>
      <c r="K37" s="282"/>
      <c r="L37" s="248"/>
    </row>
    <row r="38" spans="6:11" ht="12.75">
      <c r="F38" s="249"/>
      <c r="G38" s="249"/>
      <c r="H38" s="249"/>
      <c r="I38" s="249"/>
      <c r="J38" s="249"/>
      <c r="K38" s="249"/>
    </row>
    <row r="39" spans="6:11" ht="12.75">
      <c r="F39" s="249"/>
      <c r="G39" s="249"/>
      <c r="H39" s="249"/>
      <c r="I39" s="249"/>
      <c r="J39" s="249"/>
      <c r="K39" s="249"/>
    </row>
    <row r="40" spans="6:11" ht="12.75">
      <c r="F40" s="249"/>
      <c r="G40" s="249"/>
      <c r="H40" s="249"/>
      <c r="I40" s="249"/>
      <c r="J40" s="249"/>
      <c r="K40" s="249"/>
    </row>
  </sheetData>
  <sheetProtection/>
  <mergeCells count="20">
    <mergeCell ref="G3:K3"/>
    <mergeCell ref="I5:I7"/>
    <mergeCell ref="H5:H7"/>
    <mergeCell ref="A37:E37"/>
    <mergeCell ref="B34:E34"/>
    <mergeCell ref="A3:A7"/>
    <mergeCell ref="C33:D33"/>
    <mergeCell ref="B3:B7"/>
    <mergeCell ref="C3:C7"/>
    <mergeCell ref="C32:D32"/>
    <mergeCell ref="E3:E7"/>
    <mergeCell ref="J5:J7"/>
    <mergeCell ref="B36:F36"/>
    <mergeCell ref="L3:L7"/>
    <mergeCell ref="G4:G7"/>
    <mergeCell ref="D3:D7"/>
    <mergeCell ref="F3:F7"/>
    <mergeCell ref="H4:K4"/>
    <mergeCell ref="C30:D30"/>
    <mergeCell ref="K5:K7"/>
  </mergeCells>
  <printOptions horizontalCentered="1"/>
  <pageMargins left="0.5905511811023623" right="0.5905511811023623" top="1.1811023622047245" bottom="0.5905511811023623" header="0.5118110236220472" footer="0.5118110236220472"/>
  <pageSetup firstPageNumber="48" useFirstPageNumber="1" horizontalDpi="600" verticalDpi="600" orientation="landscape" paperSize="9" scale="85" r:id="rId1"/>
  <headerFooter alignWithMargins="0">
    <oddHeader>&amp;R&amp;9Załącznik nr 3a
do uchwały Zarządu Powiatu 
nr 260/09
z dnia 9.11.2009 r.</oddHeader>
    <oddFooter>&amp;C&amp;P</oddFooter>
  </headerFooter>
</worksheet>
</file>

<file path=xl/worksheets/sheet5.xml><?xml version="1.0" encoding="utf-8"?>
<worksheet xmlns="http://schemas.openxmlformats.org/spreadsheetml/2006/main" xmlns:r="http://schemas.openxmlformats.org/officeDocument/2006/relationships">
  <dimension ref="A1:S327"/>
  <sheetViews>
    <sheetView zoomScalePageLayoutView="0" workbookViewId="0" topLeftCell="A1">
      <pane ySplit="9" topLeftCell="BM10" activePane="bottomLeft" state="frozen"/>
      <selection pane="topLeft" activeCell="A1" sqref="A1"/>
      <selection pane="bottomLeft" activeCell="I18" sqref="I18"/>
    </sheetView>
  </sheetViews>
  <sheetFormatPr defaultColWidth="10.25390625" defaultRowHeight="12.75"/>
  <cols>
    <col min="1" max="1" width="3.625" style="10" bestFit="1" customWidth="1"/>
    <col min="2" max="2" width="19.75390625" style="264"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8.75390625" style="10" bestFit="1" customWidth="1"/>
    <col min="18" max="16384" width="10.25390625" style="10" customWidth="1"/>
  </cols>
  <sheetData>
    <row r="1" spans="1:17" ht="12.75">
      <c r="A1" s="603" t="s">
        <v>549</v>
      </c>
      <c r="B1" s="603"/>
      <c r="C1" s="603"/>
      <c r="D1" s="603"/>
      <c r="E1" s="603"/>
      <c r="F1" s="603"/>
      <c r="G1" s="603"/>
      <c r="H1" s="603"/>
      <c r="I1" s="603"/>
      <c r="J1" s="603"/>
      <c r="K1" s="603"/>
      <c r="L1" s="603"/>
      <c r="M1" s="603"/>
      <c r="N1" s="603"/>
      <c r="O1" s="603"/>
      <c r="P1" s="603"/>
      <c r="Q1" s="603"/>
    </row>
    <row r="3" spans="1:17" ht="11.25">
      <c r="A3" s="604" t="s">
        <v>493</v>
      </c>
      <c r="B3" s="605" t="s">
        <v>506</v>
      </c>
      <c r="C3" s="606" t="s">
        <v>507</v>
      </c>
      <c r="D3" s="605" t="s">
        <v>634</v>
      </c>
      <c r="E3" s="605" t="s">
        <v>553</v>
      </c>
      <c r="F3" s="604" t="s">
        <v>441</v>
      </c>
      <c r="G3" s="604"/>
      <c r="H3" s="604" t="s">
        <v>505</v>
      </c>
      <c r="I3" s="604"/>
      <c r="J3" s="604"/>
      <c r="K3" s="604"/>
      <c r="L3" s="604"/>
      <c r="M3" s="604"/>
      <c r="N3" s="604"/>
      <c r="O3" s="604"/>
      <c r="P3" s="604"/>
      <c r="Q3" s="604"/>
    </row>
    <row r="4" spans="1:17" ht="11.25">
      <c r="A4" s="604"/>
      <c r="B4" s="605"/>
      <c r="C4" s="606"/>
      <c r="D4" s="605"/>
      <c r="E4" s="605"/>
      <c r="F4" s="605" t="s">
        <v>550</v>
      </c>
      <c r="G4" s="605" t="s">
        <v>551</v>
      </c>
      <c r="H4" s="604">
        <v>2010</v>
      </c>
      <c r="I4" s="604"/>
      <c r="J4" s="604"/>
      <c r="K4" s="604"/>
      <c r="L4" s="604"/>
      <c r="M4" s="604"/>
      <c r="N4" s="604"/>
      <c r="O4" s="604"/>
      <c r="P4" s="604"/>
      <c r="Q4" s="604"/>
    </row>
    <row r="5" spans="1:17" ht="11.25">
      <c r="A5" s="604"/>
      <c r="B5" s="605"/>
      <c r="C5" s="606"/>
      <c r="D5" s="605"/>
      <c r="E5" s="605"/>
      <c r="F5" s="605"/>
      <c r="G5" s="605"/>
      <c r="H5" s="605" t="s">
        <v>509</v>
      </c>
      <c r="I5" s="604" t="s">
        <v>510</v>
      </c>
      <c r="J5" s="604"/>
      <c r="K5" s="604"/>
      <c r="L5" s="604"/>
      <c r="M5" s="604"/>
      <c r="N5" s="604"/>
      <c r="O5" s="604"/>
      <c r="P5" s="604"/>
      <c r="Q5" s="604"/>
    </row>
    <row r="6" spans="1:17" ht="14.25" customHeight="1">
      <c r="A6" s="604"/>
      <c r="B6" s="605"/>
      <c r="C6" s="606"/>
      <c r="D6" s="605"/>
      <c r="E6" s="605"/>
      <c r="F6" s="605"/>
      <c r="G6" s="605"/>
      <c r="H6" s="605"/>
      <c r="I6" s="604" t="s">
        <v>511</v>
      </c>
      <c r="J6" s="604"/>
      <c r="K6" s="604"/>
      <c r="L6" s="604"/>
      <c r="M6" s="604" t="s">
        <v>508</v>
      </c>
      <c r="N6" s="604"/>
      <c r="O6" s="604"/>
      <c r="P6" s="604"/>
      <c r="Q6" s="604"/>
    </row>
    <row r="7" spans="1:17" ht="12.75" customHeight="1">
      <c r="A7" s="604"/>
      <c r="B7" s="605"/>
      <c r="C7" s="606"/>
      <c r="D7" s="605"/>
      <c r="E7" s="605"/>
      <c r="F7" s="605"/>
      <c r="G7" s="605"/>
      <c r="H7" s="605"/>
      <c r="I7" s="605" t="s">
        <v>512</v>
      </c>
      <c r="J7" s="604" t="s">
        <v>513</v>
      </c>
      <c r="K7" s="604"/>
      <c r="L7" s="604"/>
      <c r="M7" s="605" t="s">
        <v>514</v>
      </c>
      <c r="N7" s="605" t="s">
        <v>513</v>
      </c>
      <c r="O7" s="605"/>
      <c r="P7" s="605"/>
      <c r="Q7" s="605"/>
    </row>
    <row r="8" spans="1:17" ht="48" customHeight="1">
      <c r="A8" s="604"/>
      <c r="B8" s="605"/>
      <c r="C8" s="606"/>
      <c r="D8" s="605"/>
      <c r="E8" s="605"/>
      <c r="F8" s="605"/>
      <c r="G8" s="605"/>
      <c r="H8" s="605"/>
      <c r="I8" s="605"/>
      <c r="J8" s="33" t="s">
        <v>552</v>
      </c>
      <c r="K8" s="33" t="s">
        <v>515</v>
      </c>
      <c r="L8" s="33" t="s">
        <v>516</v>
      </c>
      <c r="M8" s="605"/>
      <c r="N8" s="246" t="s">
        <v>517</v>
      </c>
      <c r="O8" s="246" t="s">
        <v>552</v>
      </c>
      <c r="P8" s="246" t="s">
        <v>515</v>
      </c>
      <c r="Q8" s="33" t="s">
        <v>518</v>
      </c>
    </row>
    <row r="9" spans="1:17" ht="35.25" customHeight="1">
      <c r="A9" s="11">
        <v>1</v>
      </c>
      <c r="B9" s="261">
        <v>2</v>
      </c>
      <c r="C9" s="11">
        <v>3</v>
      </c>
      <c r="D9" s="11">
        <v>4</v>
      </c>
      <c r="E9" s="11">
        <v>5</v>
      </c>
      <c r="F9" s="11">
        <v>6</v>
      </c>
      <c r="G9" s="11">
        <v>7</v>
      </c>
      <c r="H9" s="11">
        <v>8</v>
      </c>
      <c r="I9" s="11">
        <v>9</v>
      </c>
      <c r="J9" s="11">
        <v>10</v>
      </c>
      <c r="K9" s="11">
        <v>11</v>
      </c>
      <c r="L9" s="11">
        <v>12</v>
      </c>
      <c r="M9" s="11">
        <v>13</v>
      </c>
      <c r="N9" s="11">
        <v>14</v>
      </c>
      <c r="O9" s="11">
        <v>15</v>
      </c>
      <c r="P9" s="11">
        <v>16</v>
      </c>
      <c r="Q9" s="11">
        <v>17</v>
      </c>
    </row>
    <row r="10" spans="1:17" s="54" customFormat="1" ht="27.75" customHeight="1">
      <c r="A10" s="347">
        <v>1</v>
      </c>
      <c r="B10" s="349" t="s">
        <v>519</v>
      </c>
      <c r="C10" s="607" t="s">
        <v>482</v>
      </c>
      <c r="D10" s="607"/>
      <c r="E10" s="255">
        <f>E15+E23+E51+E32+E40</f>
        <v>33639286</v>
      </c>
      <c r="F10" s="255">
        <f aca="true" t="shared" si="0" ref="F10:Q10">F15+F23+F51</f>
        <v>10254556</v>
      </c>
      <c r="G10" s="255">
        <f t="shared" si="0"/>
        <v>12523082</v>
      </c>
      <c r="H10" s="255">
        <f t="shared" si="0"/>
        <v>22777638</v>
      </c>
      <c r="I10" s="255">
        <f t="shared" si="0"/>
        <v>9828649</v>
      </c>
      <c r="J10" s="255">
        <f t="shared" si="0"/>
        <v>0</v>
      </c>
      <c r="K10" s="255">
        <f t="shared" si="0"/>
        <v>0</v>
      </c>
      <c r="L10" s="255">
        <f t="shared" si="0"/>
        <v>9828649</v>
      </c>
      <c r="M10" s="255">
        <f t="shared" si="0"/>
        <v>12948989</v>
      </c>
      <c r="N10" s="255">
        <f t="shared" si="0"/>
        <v>0</v>
      </c>
      <c r="O10" s="255">
        <f t="shared" si="0"/>
        <v>0</v>
      </c>
      <c r="P10" s="255">
        <f t="shared" si="0"/>
        <v>0</v>
      </c>
      <c r="Q10" s="255">
        <f t="shared" si="0"/>
        <v>12948989</v>
      </c>
    </row>
    <row r="11" spans="1:17" ht="15.75" customHeight="1">
      <c r="A11" s="608" t="s">
        <v>520</v>
      </c>
      <c r="B11" s="132" t="s">
        <v>521</v>
      </c>
      <c r="C11" s="609" t="s">
        <v>387</v>
      </c>
      <c r="D11" s="609"/>
      <c r="E11" s="609"/>
      <c r="F11" s="609"/>
      <c r="G11" s="609"/>
      <c r="H11" s="609"/>
      <c r="I11" s="609"/>
      <c r="J11" s="609"/>
      <c r="K11" s="609"/>
      <c r="L11" s="609"/>
      <c r="M11" s="609"/>
      <c r="N11" s="609"/>
      <c r="O11" s="609"/>
      <c r="P11" s="609"/>
      <c r="Q11" s="609"/>
    </row>
    <row r="12" spans="1:17" ht="12.75" customHeight="1">
      <c r="A12" s="608"/>
      <c r="B12" s="132" t="s">
        <v>522</v>
      </c>
      <c r="C12" s="609"/>
      <c r="D12" s="609"/>
      <c r="E12" s="609"/>
      <c r="F12" s="609"/>
      <c r="G12" s="609"/>
      <c r="H12" s="609"/>
      <c r="I12" s="609"/>
      <c r="J12" s="609"/>
      <c r="K12" s="609"/>
      <c r="L12" s="609"/>
      <c r="M12" s="609"/>
      <c r="N12" s="609"/>
      <c r="O12" s="609"/>
      <c r="P12" s="609"/>
      <c r="Q12" s="609"/>
    </row>
    <row r="13" spans="1:17" ht="12.75" customHeight="1">
      <c r="A13" s="608"/>
      <c r="B13" s="132" t="s">
        <v>523</v>
      </c>
      <c r="C13" s="609"/>
      <c r="D13" s="609"/>
      <c r="E13" s="609"/>
      <c r="F13" s="609"/>
      <c r="G13" s="609"/>
      <c r="H13" s="609"/>
      <c r="I13" s="609"/>
      <c r="J13" s="609"/>
      <c r="K13" s="609"/>
      <c r="L13" s="609"/>
      <c r="M13" s="609"/>
      <c r="N13" s="609"/>
      <c r="O13" s="609"/>
      <c r="P13" s="609"/>
      <c r="Q13" s="609"/>
    </row>
    <row r="14" spans="1:17" ht="68.25" customHeight="1">
      <c r="A14" s="608"/>
      <c r="B14" s="132" t="s">
        <v>524</v>
      </c>
      <c r="C14" s="609" t="s">
        <v>318</v>
      </c>
      <c r="D14" s="609"/>
      <c r="E14" s="609"/>
      <c r="F14" s="609"/>
      <c r="G14" s="609"/>
      <c r="H14" s="609"/>
      <c r="I14" s="609"/>
      <c r="J14" s="609"/>
      <c r="K14" s="609"/>
      <c r="L14" s="609"/>
      <c r="M14" s="609"/>
      <c r="N14" s="609"/>
      <c r="O14" s="609"/>
      <c r="P14" s="609"/>
      <c r="Q14" s="609"/>
    </row>
    <row r="15" spans="1:17" ht="12.75">
      <c r="A15" s="608"/>
      <c r="B15" s="132" t="s">
        <v>525</v>
      </c>
      <c r="C15" s="131"/>
      <c r="D15" s="230" t="s">
        <v>388</v>
      </c>
      <c r="E15" s="352">
        <f>SUM(E18:E21)</f>
        <v>7126276</v>
      </c>
      <c r="F15" s="352">
        <f aca="true" t="shared" si="1" ref="F15:Q15">SUM(F18:F21)</f>
        <v>3571104</v>
      </c>
      <c r="G15" s="352">
        <f t="shared" si="1"/>
        <v>3555172</v>
      </c>
      <c r="H15" s="352">
        <f t="shared" si="1"/>
        <v>7126276</v>
      </c>
      <c r="I15" s="352">
        <f t="shared" si="1"/>
        <v>3571104</v>
      </c>
      <c r="J15" s="352">
        <f t="shared" si="1"/>
        <v>0</v>
      </c>
      <c r="K15" s="352">
        <f t="shared" si="1"/>
        <v>0</v>
      </c>
      <c r="L15" s="115">
        <f t="shared" si="1"/>
        <v>3571104</v>
      </c>
      <c r="M15" s="115">
        <f t="shared" si="1"/>
        <v>3555172</v>
      </c>
      <c r="N15" s="115">
        <f t="shared" si="1"/>
        <v>0</v>
      </c>
      <c r="O15" s="115">
        <f t="shared" si="1"/>
        <v>0</v>
      </c>
      <c r="P15" s="115">
        <f t="shared" si="1"/>
        <v>0</v>
      </c>
      <c r="Q15" s="352">
        <f t="shared" si="1"/>
        <v>3555172</v>
      </c>
    </row>
    <row r="16" spans="1:17" ht="12.75">
      <c r="A16" s="608"/>
      <c r="B16" s="132"/>
      <c r="C16" s="131"/>
      <c r="D16" s="132">
        <v>6058</v>
      </c>
      <c r="E16" s="115">
        <f aca="true" t="shared" si="2" ref="E16:E21">SUM(F16:G16)</f>
        <v>0</v>
      </c>
      <c r="F16" s="133"/>
      <c r="G16" s="133"/>
      <c r="H16" s="131">
        <f aca="true" t="shared" si="3" ref="H16:H21">I16+M16</f>
        <v>0</v>
      </c>
      <c r="I16" s="131">
        <f aca="true" t="shared" si="4" ref="I16:I21">SUM(J16:L16)</f>
        <v>0</v>
      </c>
      <c r="J16" s="131"/>
      <c r="K16" s="131"/>
      <c r="L16" s="133"/>
      <c r="M16" s="131">
        <f>SUM(N16:Q16)</f>
        <v>0</v>
      </c>
      <c r="N16" s="131"/>
      <c r="O16" s="131"/>
      <c r="P16" s="131"/>
      <c r="Q16" s="133"/>
    </row>
    <row r="17" spans="1:17" ht="12.75">
      <c r="A17" s="608"/>
      <c r="B17" s="132"/>
      <c r="C17" s="131"/>
      <c r="D17" s="132">
        <v>6059</v>
      </c>
      <c r="E17" s="115">
        <f t="shared" si="2"/>
        <v>0</v>
      </c>
      <c r="F17" s="133"/>
      <c r="G17" s="133"/>
      <c r="H17" s="131">
        <f t="shared" si="3"/>
        <v>0</v>
      </c>
      <c r="I17" s="131">
        <f t="shared" si="4"/>
        <v>0</v>
      </c>
      <c r="J17" s="131"/>
      <c r="K17" s="131"/>
      <c r="L17" s="133"/>
      <c r="M17" s="131">
        <f>SUM(N17:Q17)</f>
        <v>0</v>
      </c>
      <c r="N17" s="131"/>
      <c r="O17" s="131"/>
      <c r="P17" s="131"/>
      <c r="Q17" s="133"/>
    </row>
    <row r="18" spans="1:17" ht="12.75">
      <c r="A18" s="608"/>
      <c r="B18" s="262" t="s">
        <v>319</v>
      </c>
      <c r="C18" s="232"/>
      <c r="D18" s="232"/>
      <c r="E18" s="233">
        <f t="shared" si="2"/>
        <v>3506276</v>
      </c>
      <c r="F18" s="234">
        <v>1761104</v>
      </c>
      <c r="G18" s="234">
        <f>Q18</f>
        <v>1745172</v>
      </c>
      <c r="H18" s="231">
        <f t="shared" si="3"/>
        <v>3506276</v>
      </c>
      <c r="I18" s="231">
        <f t="shared" si="4"/>
        <v>1761104</v>
      </c>
      <c r="J18" s="232">
        <f>SUM(J16:J17)</f>
        <v>0</v>
      </c>
      <c r="K18" s="232">
        <f>SUM(K16:K17)</f>
        <v>0</v>
      </c>
      <c r="L18" s="232">
        <v>1761104</v>
      </c>
      <c r="M18" s="231">
        <f>SUM(N18:Q18)</f>
        <v>1745172</v>
      </c>
      <c r="N18" s="232">
        <f>SUM(N16:N17)</f>
        <v>0</v>
      </c>
      <c r="O18" s="232">
        <f>SUM(O16:O17)</f>
        <v>0</v>
      </c>
      <c r="P18" s="232">
        <f>SUM(P16:P17)</f>
        <v>0</v>
      </c>
      <c r="Q18" s="232">
        <v>1745172</v>
      </c>
    </row>
    <row r="19" spans="1:17" ht="11.25">
      <c r="A19" s="608"/>
      <c r="B19" s="132" t="s">
        <v>320</v>
      </c>
      <c r="C19" s="134"/>
      <c r="D19" s="134"/>
      <c r="E19" s="352">
        <f>SUM(F19:G19)</f>
        <v>0</v>
      </c>
      <c r="F19" s="133"/>
      <c r="G19" s="133"/>
      <c r="H19" s="131">
        <f t="shared" si="3"/>
        <v>0</v>
      </c>
      <c r="I19" s="131">
        <f t="shared" si="4"/>
        <v>0</v>
      </c>
      <c r="J19" s="134"/>
      <c r="K19" s="134"/>
      <c r="L19" s="134"/>
      <c r="M19" s="134"/>
      <c r="N19" s="134"/>
      <c r="O19" s="134"/>
      <c r="P19" s="134"/>
      <c r="Q19" s="134"/>
    </row>
    <row r="20" spans="1:17" ht="11.25">
      <c r="A20" s="608"/>
      <c r="B20" s="132" t="s">
        <v>321</v>
      </c>
      <c r="C20" s="134"/>
      <c r="D20" s="134"/>
      <c r="E20" s="352">
        <f t="shared" si="2"/>
        <v>3620000</v>
      </c>
      <c r="F20" s="133">
        <f>3620000/2</f>
        <v>1810000</v>
      </c>
      <c r="G20" s="133">
        <f>M20</f>
        <v>1810000</v>
      </c>
      <c r="H20" s="131">
        <f t="shared" si="3"/>
        <v>3620000</v>
      </c>
      <c r="I20" s="131">
        <f t="shared" si="4"/>
        <v>1810000</v>
      </c>
      <c r="J20" s="134"/>
      <c r="K20" s="131"/>
      <c r="L20" s="133">
        <f>3620000/2</f>
        <v>1810000</v>
      </c>
      <c r="M20" s="243">
        <f>Q20</f>
        <v>1810000</v>
      </c>
      <c r="N20" s="131"/>
      <c r="O20" s="134"/>
      <c r="P20" s="134"/>
      <c r="Q20" s="133">
        <f>3620000/2</f>
        <v>1810000</v>
      </c>
    </row>
    <row r="21" spans="1:17" ht="11.25">
      <c r="A21" s="608"/>
      <c r="B21" s="132"/>
      <c r="C21" s="134"/>
      <c r="D21" s="134"/>
      <c r="E21" s="352">
        <f t="shared" si="2"/>
        <v>0</v>
      </c>
      <c r="F21" s="133"/>
      <c r="G21" s="133"/>
      <c r="H21" s="131">
        <f t="shared" si="3"/>
        <v>0</v>
      </c>
      <c r="I21" s="131">
        <f t="shared" si="4"/>
        <v>0</v>
      </c>
      <c r="J21" s="134"/>
      <c r="K21" s="131"/>
      <c r="L21" s="134"/>
      <c r="M21" s="134"/>
      <c r="N21" s="131"/>
      <c r="O21" s="134"/>
      <c r="P21" s="134"/>
      <c r="Q21" s="134"/>
    </row>
    <row r="22" spans="1:17" ht="40.5" customHeight="1">
      <c r="A22" s="556" t="s">
        <v>526</v>
      </c>
      <c r="B22" s="132" t="s">
        <v>524</v>
      </c>
      <c r="C22" s="609" t="s">
        <v>567</v>
      </c>
      <c r="D22" s="609"/>
      <c r="E22" s="609"/>
      <c r="F22" s="609"/>
      <c r="G22" s="609"/>
      <c r="H22" s="609"/>
      <c r="I22" s="609"/>
      <c r="J22" s="609"/>
      <c r="K22" s="609"/>
      <c r="L22" s="609"/>
      <c r="M22" s="609"/>
      <c r="N22" s="609"/>
      <c r="O22" s="609"/>
      <c r="P22" s="609"/>
      <c r="Q22" s="609"/>
    </row>
    <row r="23" spans="1:17" ht="11.25">
      <c r="A23" s="556"/>
      <c r="B23" s="132" t="s">
        <v>525</v>
      </c>
      <c r="C23" s="131"/>
      <c r="D23" s="230" t="s">
        <v>388</v>
      </c>
      <c r="E23" s="352">
        <f>SUM(E24:E30)-E25</f>
        <v>15639362</v>
      </c>
      <c r="F23" s="352">
        <f aca="true" t="shared" si="5" ref="F23:Q23">SUM(F24:F30)-F25</f>
        <v>6681652</v>
      </c>
      <c r="G23" s="352">
        <f t="shared" si="5"/>
        <v>8957710</v>
      </c>
      <c r="H23" s="352">
        <f t="shared" si="5"/>
        <v>15639362</v>
      </c>
      <c r="I23" s="352">
        <f t="shared" si="5"/>
        <v>6255745</v>
      </c>
      <c r="J23" s="352">
        <f t="shared" si="5"/>
        <v>0</v>
      </c>
      <c r="K23" s="352">
        <f t="shared" si="5"/>
        <v>0</v>
      </c>
      <c r="L23" s="352">
        <f t="shared" si="5"/>
        <v>6255745</v>
      </c>
      <c r="M23" s="352">
        <f t="shared" si="5"/>
        <v>9383617</v>
      </c>
      <c r="N23" s="352">
        <f t="shared" si="5"/>
        <v>0</v>
      </c>
      <c r="O23" s="352">
        <f t="shared" si="5"/>
        <v>0</v>
      </c>
      <c r="P23" s="352">
        <f t="shared" si="5"/>
        <v>0</v>
      </c>
      <c r="Q23" s="352">
        <f t="shared" si="5"/>
        <v>9383617</v>
      </c>
    </row>
    <row r="24" spans="1:17" ht="12.75">
      <c r="A24" s="556"/>
      <c r="B24" s="132" t="s">
        <v>16</v>
      </c>
      <c r="C24" s="131"/>
      <c r="D24" s="132"/>
      <c r="E24" s="115">
        <f aca="true" t="shared" si="6" ref="E24:E30">SUM(F24:G24)</f>
        <v>74041</v>
      </c>
      <c r="F24" s="133">
        <f>L24</f>
        <v>29616</v>
      </c>
      <c r="G24" s="133">
        <f>Q24</f>
        <v>44425</v>
      </c>
      <c r="H24" s="131">
        <f aca="true" t="shared" si="7" ref="H24:H30">I24+M24</f>
        <v>74041</v>
      </c>
      <c r="I24" s="131">
        <f aca="true" t="shared" si="8" ref="I24:I30">SUM(J24:L24)</f>
        <v>29616</v>
      </c>
      <c r="J24" s="131"/>
      <c r="K24" s="131"/>
      <c r="L24" s="133">
        <v>29616</v>
      </c>
      <c r="M24" s="131">
        <f aca="true" t="shared" si="9" ref="M24:M29">SUM(N24:Q24)</f>
        <v>44425</v>
      </c>
      <c r="N24" s="131"/>
      <c r="O24" s="131"/>
      <c r="P24" s="131"/>
      <c r="Q24" s="133">
        <v>44425</v>
      </c>
    </row>
    <row r="25" spans="1:17" s="315" customFormat="1" ht="23.25" customHeight="1">
      <c r="A25" s="557"/>
      <c r="B25" s="310">
        <v>2010</v>
      </c>
      <c r="C25" s="311"/>
      <c r="D25" s="311"/>
      <c r="E25" s="312">
        <f t="shared" si="6"/>
        <v>2129535</v>
      </c>
      <c r="F25" s="313">
        <f>F27</f>
        <v>1277721</v>
      </c>
      <c r="G25" s="313">
        <f>SUM(G26:G27)</f>
        <v>851814</v>
      </c>
      <c r="H25" s="314">
        <f t="shared" si="7"/>
        <v>2129535</v>
      </c>
      <c r="I25" s="314">
        <f t="shared" si="8"/>
        <v>851814</v>
      </c>
      <c r="J25" s="313">
        <f>SUM(J26:J27)</f>
        <v>0</v>
      </c>
      <c r="K25" s="313">
        <f>SUM(K26:K27)</f>
        <v>0</v>
      </c>
      <c r="L25" s="313">
        <f>SUM(L26:L27)</f>
        <v>851814</v>
      </c>
      <c r="M25" s="314">
        <f t="shared" si="9"/>
        <v>1277721</v>
      </c>
      <c r="N25" s="313">
        <f>SUM(N26:N27)</f>
        <v>0</v>
      </c>
      <c r="O25" s="313">
        <f>SUM(O26:O27)</f>
        <v>0</v>
      </c>
      <c r="P25" s="313">
        <f>SUM(P26:P27)</f>
        <v>0</v>
      </c>
      <c r="Q25" s="313">
        <f>SUM(Q26:Q27)</f>
        <v>1277721</v>
      </c>
    </row>
    <row r="26" spans="1:17" s="315" customFormat="1" ht="12.75">
      <c r="A26" s="557"/>
      <c r="B26" s="310"/>
      <c r="C26" s="311"/>
      <c r="D26" s="311">
        <v>6058</v>
      </c>
      <c r="E26" s="312">
        <f t="shared" si="6"/>
        <v>851814</v>
      </c>
      <c r="F26" s="313"/>
      <c r="G26" s="313">
        <f>H26</f>
        <v>851814</v>
      </c>
      <c r="H26" s="314">
        <f t="shared" si="7"/>
        <v>851814</v>
      </c>
      <c r="I26" s="314">
        <f t="shared" si="8"/>
        <v>851814</v>
      </c>
      <c r="J26" s="313">
        <f>SUM(J27:J29)</f>
        <v>0</v>
      </c>
      <c r="K26" s="313">
        <f>SUM(K27:K29)</f>
        <v>0</v>
      </c>
      <c r="L26" s="316">
        <v>851814</v>
      </c>
      <c r="M26" s="314">
        <f t="shared" si="9"/>
        <v>0</v>
      </c>
      <c r="N26" s="313">
        <f>SUM(N27:N29)</f>
        <v>0</v>
      </c>
      <c r="O26" s="313">
        <f>SUM(O27:O29)</f>
        <v>0</v>
      </c>
      <c r="P26" s="313">
        <f>SUM(P27:P29)</f>
        <v>0</v>
      </c>
      <c r="Q26" s="316"/>
    </row>
    <row r="27" spans="1:17" s="315" customFormat="1" ht="12.75">
      <c r="A27" s="557"/>
      <c r="B27" s="310"/>
      <c r="C27" s="311"/>
      <c r="D27" s="311">
        <v>6059</v>
      </c>
      <c r="E27" s="312">
        <f t="shared" si="6"/>
        <v>1277721</v>
      </c>
      <c r="F27" s="313">
        <f>H27</f>
        <v>1277721</v>
      </c>
      <c r="G27" s="313"/>
      <c r="H27" s="314">
        <f t="shared" si="7"/>
        <v>1277721</v>
      </c>
      <c r="I27" s="314">
        <f t="shared" si="8"/>
        <v>0</v>
      </c>
      <c r="J27" s="311"/>
      <c r="K27" s="311"/>
      <c r="L27" s="316"/>
      <c r="M27" s="314">
        <f t="shared" si="9"/>
        <v>1277721</v>
      </c>
      <c r="N27" s="311"/>
      <c r="O27" s="311"/>
      <c r="P27" s="311"/>
      <c r="Q27" s="316">
        <v>1277721</v>
      </c>
    </row>
    <row r="28" spans="1:17" s="315" customFormat="1" ht="12" customHeight="1">
      <c r="A28" s="557"/>
      <c r="B28" s="310">
        <v>2011</v>
      </c>
      <c r="C28" s="311"/>
      <c r="D28" s="311"/>
      <c r="E28" s="403">
        <f>SUM(F28:G28)</f>
        <v>6747829</v>
      </c>
      <c r="F28" s="313">
        <f>L28</f>
        <v>2699132</v>
      </c>
      <c r="G28" s="313">
        <f>M28</f>
        <v>4048697</v>
      </c>
      <c r="H28" s="314">
        <f>I28+M28</f>
        <v>6747829</v>
      </c>
      <c r="I28" s="314">
        <f>SUM(J28:L28)</f>
        <v>2699132</v>
      </c>
      <c r="J28" s="311"/>
      <c r="K28" s="311"/>
      <c r="L28" s="311">
        <v>2699132</v>
      </c>
      <c r="M28" s="314">
        <f t="shared" si="9"/>
        <v>4048697</v>
      </c>
      <c r="N28" s="311"/>
      <c r="O28" s="311"/>
      <c r="P28" s="311"/>
      <c r="Q28" s="311">
        <v>4048697</v>
      </c>
    </row>
    <row r="29" spans="1:17" s="315" customFormat="1" ht="12" customHeight="1">
      <c r="A29" s="557"/>
      <c r="B29" s="310">
        <v>2012</v>
      </c>
      <c r="C29" s="311"/>
      <c r="D29" s="311"/>
      <c r="E29" s="403">
        <f>SUM(F29:G29)</f>
        <v>6687957</v>
      </c>
      <c r="F29" s="313">
        <f>L29</f>
        <v>2675183</v>
      </c>
      <c r="G29" s="313">
        <f>M29</f>
        <v>4012774</v>
      </c>
      <c r="H29" s="314">
        <f t="shared" si="7"/>
        <v>6687957</v>
      </c>
      <c r="I29" s="314">
        <f t="shared" si="8"/>
        <v>2675183</v>
      </c>
      <c r="J29" s="311"/>
      <c r="K29" s="311"/>
      <c r="L29" s="311">
        <v>2675183</v>
      </c>
      <c r="M29" s="314">
        <f t="shared" si="9"/>
        <v>4012774</v>
      </c>
      <c r="N29" s="311"/>
      <c r="O29" s="311"/>
      <c r="P29" s="311"/>
      <c r="Q29" s="311">
        <v>4012774</v>
      </c>
    </row>
    <row r="30" spans="1:17" s="315" customFormat="1" ht="11.25">
      <c r="A30" s="557"/>
      <c r="B30" s="310"/>
      <c r="C30" s="311"/>
      <c r="D30" s="311"/>
      <c r="E30" s="403">
        <f t="shared" si="6"/>
        <v>0</v>
      </c>
      <c r="F30" s="313"/>
      <c r="G30" s="313"/>
      <c r="H30" s="314">
        <f t="shared" si="7"/>
        <v>0</v>
      </c>
      <c r="I30" s="314">
        <f t="shared" si="8"/>
        <v>0</v>
      </c>
      <c r="J30" s="311"/>
      <c r="K30" s="314"/>
      <c r="L30" s="311"/>
      <c r="M30" s="314"/>
      <c r="N30" s="314"/>
      <c r="O30" s="311"/>
      <c r="P30" s="311"/>
      <c r="Q30" s="311"/>
    </row>
    <row r="31" spans="1:17" ht="40.5" customHeight="1">
      <c r="A31" s="556"/>
      <c r="B31" s="132" t="s">
        <v>524</v>
      </c>
      <c r="C31" s="609" t="s">
        <v>568</v>
      </c>
      <c r="D31" s="609"/>
      <c r="E31" s="609"/>
      <c r="F31" s="609"/>
      <c r="G31" s="609"/>
      <c r="H31" s="609"/>
      <c r="I31" s="609"/>
      <c r="J31" s="609"/>
      <c r="K31" s="609"/>
      <c r="L31" s="609"/>
      <c r="M31" s="609"/>
      <c r="N31" s="609"/>
      <c r="O31" s="609"/>
      <c r="P31" s="609"/>
      <c r="Q31" s="609"/>
    </row>
    <row r="32" spans="1:17" ht="11.25">
      <c r="A32" s="556" t="s">
        <v>527</v>
      </c>
      <c r="B32" s="132" t="s">
        <v>525</v>
      </c>
      <c r="C32" s="131"/>
      <c r="D32" s="230" t="s">
        <v>388</v>
      </c>
      <c r="E32" s="352">
        <f>SUM(E33:E39)-E34</f>
        <v>6009242</v>
      </c>
      <c r="F32" s="352">
        <f aca="true" t="shared" si="10" ref="F32:Q32">SUM(F33:F39)-F34</f>
        <v>2576197</v>
      </c>
      <c r="G32" s="352">
        <f t="shared" si="10"/>
        <v>3433045</v>
      </c>
      <c r="H32" s="352">
        <f t="shared" si="10"/>
        <v>6009242</v>
      </c>
      <c r="I32" s="352">
        <f t="shared" si="10"/>
        <v>2403697</v>
      </c>
      <c r="J32" s="352">
        <f t="shared" si="10"/>
        <v>0</v>
      </c>
      <c r="K32" s="352">
        <f t="shared" si="10"/>
        <v>0</v>
      </c>
      <c r="L32" s="352">
        <f t="shared" si="10"/>
        <v>2403697</v>
      </c>
      <c r="M32" s="352">
        <f t="shared" si="10"/>
        <v>3605545</v>
      </c>
      <c r="N32" s="352">
        <f t="shared" si="10"/>
        <v>0</v>
      </c>
      <c r="O32" s="352">
        <f t="shared" si="10"/>
        <v>0</v>
      </c>
      <c r="P32" s="352">
        <f t="shared" si="10"/>
        <v>0</v>
      </c>
      <c r="Q32" s="352">
        <f t="shared" si="10"/>
        <v>3605545</v>
      </c>
    </row>
    <row r="33" spans="1:17" ht="12.75">
      <c r="A33" s="556"/>
      <c r="B33" s="132" t="s">
        <v>16</v>
      </c>
      <c r="C33" s="131"/>
      <c r="D33" s="132"/>
      <c r="E33" s="115">
        <f aca="true" t="shared" si="11" ref="E33:E38">SUM(F33:G33)</f>
        <v>33892</v>
      </c>
      <c r="F33" s="133">
        <f>L33</f>
        <v>13557</v>
      </c>
      <c r="G33" s="133">
        <f>Q33</f>
        <v>20335</v>
      </c>
      <c r="H33" s="131">
        <f aca="true" t="shared" si="12" ref="H33:H38">I33+M33</f>
        <v>33892</v>
      </c>
      <c r="I33" s="131">
        <f aca="true" t="shared" si="13" ref="I33:I38">SUM(J33:L33)</f>
        <v>13557</v>
      </c>
      <c r="J33" s="131"/>
      <c r="K33" s="131"/>
      <c r="L33" s="133">
        <v>13557</v>
      </c>
      <c r="M33" s="131">
        <f aca="true" t="shared" si="14" ref="M33:M38">SUM(N33:Q33)</f>
        <v>20335</v>
      </c>
      <c r="N33" s="131"/>
      <c r="O33" s="131"/>
      <c r="P33" s="131"/>
      <c r="Q33" s="133">
        <v>20335</v>
      </c>
    </row>
    <row r="34" spans="1:17" s="315" customFormat="1" ht="23.25" customHeight="1">
      <c r="A34" s="557"/>
      <c r="B34" s="310">
        <v>2010</v>
      </c>
      <c r="C34" s="311"/>
      <c r="D34" s="311"/>
      <c r="E34" s="312">
        <f t="shared" si="11"/>
        <v>862500</v>
      </c>
      <c r="F34" s="313">
        <f>F36</f>
        <v>517500</v>
      </c>
      <c r="G34" s="313">
        <f>SUM(G35:G36)</f>
        <v>345000</v>
      </c>
      <c r="H34" s="314">
        <f t="shared" si="12"/>
        <v>862500</v>
      </c>
      <c r="I34" s="314">
        <f t="shared" si="13"/>
        <v>345000</v>
      </c>
      <c r="J34" s="313">
        <f>SUM(J35:J36)</f>
        <v>0</v>
      </c>
      <c r="K34" s="313">
        <f>SUM(K35:K36)</f>
        <v>0</v>
      </c>
      <c r="L34" s="313">
        <f>SUM(L35:L36)</f>
        <v>345000</v>
      </c>
      <c r="M34" s="314">
        <f t="shared" si="14"/>
        <v>517500</v>
      </c>
      <c r="N34" s="313">
        <f>SUM(N35:N36)</f>
        <v>0</v>
      </c>
      <c r="O34" s="313">
        <f>SUM(O35:O36)</f>
        <v>0</v>
      </c>
      <c r="P34" s="313">
        <f>SUM(P35:P36)</f>
        <v>0</v>
      </c>
      <c r="Q34" s="313">
        <f>SUM(Q35:Q36)</f>
        <v>517500</v>
      </c>
    </row>
    <row r="35" spans="1:17" s="315" customFormat="1" ht="12.75">
      <c r="A35" s="557"/>
      <c r="B35" s="310"/>
      <c r="C35" s="311"/>
      <c r="D35" s="311">
        <v>6058</v>
      </c>
      <c r="E35" s="312">
        <f t="shared" si="11"/>
        <v>345000</v>
      </c>
      <c r="F35" s="313"/>
      <c r="G35" s="313">
        <f>H35</f>
        <v>345000</v>
      </c>
      <c r="H35" s="314">
        <f t="shared" si="12"/>
        <v>345000</v>
      </c>
      <c r="I35" s="314">
        <f t="shared" si="13"/>
        <v>345000</v>
      </c>
      <c r="J35" s="313">
        <f>SUM(J36:J38)</f>
        <v>0</v>
      </c>
      <c r="K35" s="313">
        <f>SUM(K36:K38)</f>
        <v>0</v>
      </c>
      <c r="L35" s="316">
        <v>345000</v>
      </c>
      <c r="M35" s="314">
        <f t="shared" si="14"/>
        <v>0</v>
      </c>
      <c r="N35" s="313">
        <f>SUM(N36:N38)</f>
        <v>0</v>
      </c>
      <c r="O35" s="313">
        <f>SUM(O36:O38)</f>
        <v>0</v>
      </c>
      <c r="P35" s="313">
        <f>SUM(P36:P38)</f>
        <v>0</v>
      </c>
      <c r="Q35" s="316"/>
    </row>
    <row r="36" spans="1:17" s="315" customFormat="1" ht="12.75">
      <c r="A36" s="557"/>
      <c r="B36" s="310"/>
      <c r="C36" s="311"/>
      <c r="D36" s="311">
        <v>6059</v>
      </c>
      <c r="E36" s="312">
        <f t="shared" si="11"/>
        <v>517500</v>
      </c>
      <c r="F36" s="313">
        <f>H36</f>
        <v>517500</v>
      </c>
      <c r="G36" s="313"/>
      <c r="H36" s="314">
        <f t="shared" si="12"/>
        <v>517500</v>
      </c>
      <c r="I36" s="314">
        <f t="shared" si="13"/>
        <v>0</v>
      </c>
      <c r="J36" s="311"/>
      <c r="K36" s="311"/>
      <c r="L36" s="316"/>
      <c r="M36" s="314">
        <f t="shared" si="14"/>
        <v>517500</v>
      </c>
      <c r="N36" s="311"/>
      <c r="O36" s="311"/>
      <c r="P36" s="311"/>
      <c r="Q36" s="316">
        <v>517500</v>
      </c>
    </row>
    <row r="37" spans="1:17" s="315" customFormat="1" ht="12" customHeight="1">
      <c r="A37" s="557"/>
      <c r="B37" s="310">
        <v>2011</v>
      </c>
      <c r="C37" s="311"/>
      <c r="D37" s="311"/>
      <c r="E37" s="403">
        <f t="shared" si="11"/>
        <v>5111803</v>
      </c>
      <c r="F37" s="313">
        <f>L37</f>
        <v>2044721</v>
      </c>
      <c r="G37" s="313">
        <f>M37</f>
        <v>3067082</v>
      </c>
      <c r="H37" s="314">
        <f t="shared" si="12"/>
        <v>5111803</v>
      </c>
      <c r="I37" s="314">
        <f t="shared" si="13"/>
        <v>2044721</v>
      </c>
      <c r="J37" s="311"/>
      <c r="K37" s="311"/>
      <c r="L37" s="311">
        <v>2044721</v>
      </c>
      <c r="M37" s="314">
        <f t="shared" si="14"/>
        <v>3067082</v>
      </c>
      <c r="N37" s="311"/>
      <c r="O37" s="311"/>
      <c r="P37" s="311"/>
      <c r="Q37" s="311">
        <v>3067082</v>
      </c>
    </row>
    <row r="38" spans="1:17" s="315" customFormat="1" ht="12" customHeight="1">
      <c r="A38" s="557"/>
      <c r="B38" s="310">
        <v>2012</v>
      </c>
      <c r="C38" s="311"/>
      <c r="D38" s="311"/>
      <c r="E38" s="403">
        <f t="shared" si="11"/>
        <v>1047</v>
      </c>
      <c r="F38" s="313">
        <f>L38</f>
        <v>419</v>
      </c>
      <c r="G38" s="313">
        <f>M38</f>
        <v>628</v>
      </c>
      <c r="H38" s="314">
        <f t="shared" si="12"/>
        <v>1047</v>
      </c>
      <c r="I38" s="314">
        <f t="shared" si="13"/>
        <v>419</v>
      </c>
      <c r="J38" s="311"/>
      <c r="K38" s="311"/>
      <c r="L38" s="311">
        <v>419</v>
      </c>
      <c r="M38" s="314">
        <f t="shared" si="14"/>
        <v>628</v>
      </c>
      <c r="N38" s="311"/>
      <c r="O38" s="311"/>
      <c r="P38" s="311"/>
      <c r="Q38" s="311">
        <v>628</v>
      </c>
    </row>
    <row r="39" spans="1:17" ht="40.5" customHeight="1">
      <c r="A39" s="556"/>
      <c r="B39" s="132" t="s">
        <v>524</v>
      </c>
      <c r="C39" s="609" t="s">
        <v>569</v>
      </c>
      <c r="D39" s="609"/>
      <c r="E39" s="609"/>
      <c r="F39" s="609"/>
      <c r="G39" s="609"/>
      <c r="H39" s="609"/>
      <c r="I39" s="609"/>
      <c r="J39" s="609"/>
      <c r="K39" s="609"/>
      <c r="L39" s="609"/>
      <c r="M39" s="609"/>
      <c r="N39" s="609"/>
      <c r="O39" s="609"/>
      <c r="P39" s="609"/>
      <c r="Q39" s="609"/>
    </row>
    <row r="40" spans="1:17" ht="11.25">
      <c r="A40" s="556" t="s">
        <v>570</v>
      </c>
      <c r="B40" s="132" t="s">
        <v>525</v>
      </c>
      <c r="C40" s="131"/>
      <c r="D40" s="230" t="s">
        <v>388</v>
      </c>
      <c r="E40" s="352">
        <f aca="true" t="shared" si="15" ref="E40:Q40">SUM(E41:E46)-E42</f>
        <v>4852406</v>
      </c>
      <c r="F40" s="352">
        <f t="shared" si="15"/>
        <v>2554622</v>
      </c>
      <c r="G40" s="352">
        <f t="shared" si="15"/>
        <v>2297784</v>
      </c>
      <c r="H40" s="352">
        <f t="shared" si="15"/>
        <v>4852406</v>
      </c>
      <c r="I40" s="352">
        <f t="shared" si="15"/>
        <v>1940962</v>
      </c>
      <c r="J40" s="352">
        <f t="shared" si="15"/>
        <v>0</v>
      </c>
      <c r="K40" s="352">
        <f t="shared" si="15"/>
        <v>0</v>
      </c>
      <c r="L40" s="352">
        <f t="shared" si="15"/>
        <v>1940962</v>
      </c>
      <c r="M40" s="352">
        <f t="shared" si="15"/>
        <v>2911444</v>
      </c>
      <c r="N40" s="352">
        <f t="shared" si="15"/>
        <v>0</v>
      </c>
      <c r="O40" s="352">
        <f t="shared" si="15"/>
        <v>0</v>
      </c>
      <c r="P40" s="352">
        <f t="shared" si="15"/>
        <v>0</v>
      </c>
      <c r="Q40" s="352">
        <f t="shared" si="15"/>
        <v>2911444</v>
      </c>
    </row>
    <row r="41" spans="1:17" ht="12.75">
      <c r="A41" s="556"/>
      <c r="B41" s="132" t="s">
        <v>16</v>
      </c>
      <c r="C41" s="131"/>
      <c r="D41" s="132"/>
      <c r="E41" s="115">
        <f aca="true" t="shared" si="16" ref="E41:E46">SUM(F41:G41)</f>
        <v>373766</v>
      </c>
      <c r="F41" s="133">
        <f>L41</f>
        <v>149506</v>
      </c>
      <c r="G41" s="133">
        <f>Q41</f>
        <v>224260</v>
      </c>
      <c r="H41" s="131">
        <f aca="true" t="shared" si="17" ref="H41:H46">I41+M41</f>
        <v>373766</v>
      </c>
      <c r="I41" s="131">
        <f aca="true" t="shared" si="18" ref="I41:I46">SUM(J41:L41)</f>
        <v>149506</v>
      </c>
      <c r="J41" s="131"/>
      <c r="K41" s="131"/>
      <c r="L41" s="133">
        <v>149506</v>
      </c>
      <c r="M41" s="131">
        <f aca="true" t="shared" si="19" ref="M41:M46">SUM(N41:Q41)</f>
        <v>224260</v>
      </c>
      <c r="N41" s="131"/>
      <c r="O41" s="131"/>
      <c r="P41" s="131"/>
      <c r="Q41" s="133">
        <v>224260</v>
      </c>
    </row>
    <row r="42" spans="1:17" s="315" customFormat="1" ht="23.25" customHeight="1">
      <c r="A42" s="557"/>
      <c r="B42" s="310">
        <v>2010</v>
      </c>
      <c r="C42" s="311"/>
      <c r="D42" s="311"/>
      <c r="E42" s="312">
        <f t="shared" si="16"/>
        <v>2333302</v>
      </c>
      <c r="F42" s="313">
        <f>F44</f>
        <v>1473481</v>
      </c>
      <c r="G42" s="313">
        <f>SUM(G43:G44)</f>
        <v>859821</v>
      </c>
      <c r="H42" s="314">
        <f t="shared" si="17"/>
        <v>2333302</v>
      </c>
      <c r="I42" s="314">
        <f t="shared" si="18"/>
        <v>859821</v>
      </c>
      <c r="J42" s="313">
        <f>SUM(J43:J44)</f>
        <v>0</v>
      </c>
      <c r="K42" s="313">
        <f>SUM(K43:K44)</f>
        <v>0</v>
      </c>
      <c r="L42" s="313">
        <f>SUM(L43:L44)</f>
        <v>859821</v>
      </c>
      <c r="M42" s="314">
        <f t="shared" si="19"/>
        <v>1473481</v>
      </c>
      <c r="N42" s="313">
        <f>SUM(N43:N44)</f>
        <v>0</v>
      </c>
      <c r="O42" s="313">
        <f>SUM(O43:O44)</f>
        <v>0</v>
      </c>
      <c r="P42" s="313">
        <f>SUM(P43:P44)</f>
        <v>0</v>
      </c>
      <c r="Q42" s="313">
        <f>SUM(Q43:Q44)</f>
        <v>1473481</v>
      </c>
    </row>
    <row r="43" spans="1:17" s="315" customFormat="1" ht="12.75">
      <c r="A43" s="557"/>
      <c r="B43" s="310"/>
      <c r="C43" s="311"/>
      <c r="D43" s="311">
        <v>6058</v>
      </c>
      <c r="E43" s="312">
        <f t="shared" si="16"/>
        <v>859821</v>
      </c>
      <c r="F43" s="313"/>
      <c r="G43" s="313">
        <f>H43</f>
        <v>859821</v>
      </c>
      <c r="H43" s="314">
        <f t="shared" si="17"/>
        <v>859821</v>
      </c>
      <c r="I43" s="314">
        <f t="shared" si="18"/>
        <v>859821</v>
      </c>
      <c r="J43" s="313">
        <f>SUM(J44:J46)</f>
        <v>0</v>
      </c>
      <c r="K43" s="313">
        <f>SUM(K44:K46)</f>
        <v>0</v>
      </c>
      <c r="L43" s="316">
        <v>859821</v>
      </c>
      <c r="M43" s="314">
        <f t="shared" si="19"/>
        <v>0</v>
      </c>
      <c r="N43" s="313">
        <f>SUM(N44:N46)</f>
        <v>0</v>
      </c>
      <c r="O43" s="313">
        <f>SUM(O44:O46)</f>
        <v>0</v>
      </c>
      <c r="P43" s="313">
        <f>SUM(P44:P46)</f>
        <v>0</v>
      </c>
      <c r="Q43" s="316"/>
    </row>
    <row r="44" spans="1:17" s="315" customFormat="1" ht="12.75">
      <c r="A44" s="557"/>
      <c r="B44" s="310"/>
      <c r="C44" s="311"/>
      <c r="D44" s="311">
        <v>6059</v>
      </c>
      <c r="E44" s="312">
        <f t="shared" si="16"/>
        <v>1473481</v>
      </c>
      <c r="F44" s="313">
        <f>H44</f>
        <v>1473481</v>
      </c>
      <c r="G44" s="313"/>
      <c r="H44" s="314">
        <f t="shared" si="17"/>
        <v>1473481</v>
      </c>
      <c r="I44" s="314">
        <f t="shared" si="18"/>
        <v>0</v>
      </c>
      <c r="J44" s="311"/>
      <c r="K44" s="311"/>
      <c r="L44" s="316"/>
      <c r="M44" s="314">
        <f t="shared" si="19"/>
        <v>1473481</v>
      </c>
      <c r="N44" s="311"/>
      <c r="O44" s="311"/>
      <c r="P44" s="311"/>
      <c r="Q44" s="316">
        <v>1473481</v>
      </c>
    </row>
    <row r="45" spans="1:17" s="315" customFormat="1" ht="12" customHeight="1">
      <c r="A45" s="557"/>
      <c r="B45" s="310">
        <v>2011</v>
      </c>
      <c r="C45" s="311"/>
      <c r="D45" s="311"/>
      <c r="E45" s="403">
        <f t="shared" si="16"/>
        <v>2145338</v>
      </c>
      <c r="F45" s="313">
        <f>L45</f>
        <v>931635</v>
      </c>
      <c r="G45" s="313">
        <f>M45</f>
        <v>1213703</v>
      </c>
      <c r="H45" s="314">
        <f t="shared" si="17"/>
        <v>2145338</v>
      </c>
      <c r="I45" s="314">
        <f t="shared" si="18"/>
        <v>931635</v>
      </c>
      <c r="J45" s="311"/>
      <c r="K45" s="311"/>
      <c r="L45" s="311">
        <v>931635</v>
      </c>
      <c r="M45" s="314">
        <f t="shared" si="19"/>
        <v>1213703</v>
      </c>
      <c r="N45" s="311"/>
      <c r="O45" s="311"/>
      <c r="P45" s="311"/>
      <c r="Q45" s="311">
        <v>1213703</v>
      </c>
    </row>
    <row r="46" spans="1:17" s="315" customFormat="1" ht="12" customHeight="1">
      <c r="A46" s="557"/>
      <c r="B46" s="310">
        <v>2012</v>
      </c>
      <c r="C46" s="311"/>
      <c r="D46" s="311"/>
      <c r="E46" s="403">
        <f t="shared" si="16"/>
        <v>0</v>
      </c>
      <c r="F46" s="313">
        <f>L46</f>
        <v>0</v>
      </c>
      <c r="G46" s="313">
        <f>M46</f>
        <v>0</v>
      </c>
      <c r="H46" s="314">
        <f t="shared" si="17"/>
        <v>0</v>
      </c>
      <c r="I46" s="314">
        <f t="shared" si="18"/>
        <v>0</v>
      </c>
      <c r="J46" s="311"/>
      <c r="K46" s="311"/>
      <c r="L46" s="311"/>
      <c r="M46" s="314">
        <f t="shared" si="19"/>
        <v>0</v>
      </c>
      <c r="N46" s="311"/>
      <c r="O46" s="311"/>
      <c r="P46" s="311"/>
      <c r="Q46" s="311"/>
    </row>
    <row r="47" spans="1:17" s="136" customFormat="1" ht="11.25" customHeight="1">
      <c r="A47" s="556" t="s">
        <v>571</v>
      </c>
      <c r="B47" s="132" t="s">
        <v>521</v>
      </c>
      <c r="C47" s="610" t="s">
        <v>582</v>
      </c>
      <c r="D47" s="610"/>
      <c r="E47" s="610"/>
      <c r="F47" s="610"/>
      <c r="G47" s="610"/>
      <c r="H47" s="610"/>
      <c r="I47" s="610"/>
      <c r="J47" s="610"/>
      <c r="K47" s="610"/>
      <c r="L47" s="610"/>
      <c r="M47" s="610"/>
      <c r="N47" s="610"/>
      <c r="O47" s="610"/>
      <c r="P47" s="610"/>
      <c r="Q47" s="610"/>
    </row>
    <row r="48" spans="1:17" s="136" customFormat="1" ht="11.25" customHeight="1">
      <c r="A48" s="556"/>
      <c r="B48" s="132" t="s">
        <v>522</v>
      </c>
      <c r="C48" s="610"/>
      <c r="D48" s="610"/>
      <c r="E48" s="610"/>
      <c r="F48" s="610"/>
      <c r="G48" s="610"/>
      <c r="H48" s="610"/>
      <c r="I48" s="610"/>
      <c r="J48" s="610"/>
      <c r="K48" s="610"/>
      <c r="L48" s="610"/>
      <c r="M48" s="610"/>
      <c r="N48" s="610"/>
      <c r="O48" s="610"/>
      <c r="P48" s="610"/>
      <c r="Q48" s="610"/>
    </row>
    <row r="49" spans="1:17" s="136" customFormat="1" ht="11.25" customHeight="1">
      <c r="A49" s="556"/>
      <c r="B49" s="132" t="s">
        <v>523</v>
      </c>
      <c r="C49" s="610"/>
      <c r="D49" s="610"/>
      <c r="E49" s="610"/>
      <c r="F49" s="610"/>
      <c r="G49" s="610"/>
      <c r="H49" s="610"/>
      <c r="I49" s="610"/>
      <c r="J49" s="610"/>
      <c r="K49" s="610"/>
      <c r="L49" s="610"/>
      <c r="M49" s="610"/>
      <c r="N49" s="610"/>
      <c r="O49" s="610"/>
      <c r="P49" s="610"/>
      <c r="Q49" s="610"/>
    </row>
    <row r="50" spans="1:17" s="136" customFormat="1" ht="11.25" customHeight="1">
      <c r="A50" s="556"/>
      <c r="B50" s="132" t="s">
        <v>524</v>
      </c>
      <c r="C50" s="610"/>
      <c r="D50" s="610"/>
      <c r="E50" s="610"/>
      <c r="F50" s="610"/>
      <c r="G50" s="610"/>
      <c r="H50" s="610"/>
      <c r="I50" s="610"/>
      <c r="J50" s="610"/>
      <c r="K50" s="610"/>
      <c r="L50" s="610"/>
      <c r="M50" s="610"/>
      <c r="N50" s="610"/>
      <c r="O50" s="610"/>
      <c r="P50" s="610"/>
      <c r="Q50" s="610"/>
    </row>
    <row r="51" spans="1:17" s="136" customFormat="1" ht="12.75">
      <c r="A51" s="556"/>
      <c r="B51" s="263" t="s">
        <v>525</v>
      </c>
      <c r="C51" s="34"/>
      <c r="D51" s="138" t="s">
        <v>308</v>
      </c>
      <c r="E51" s="115">
        <f>E52+E55</f>
        <v>12000</v>
      </c>
      <c r="F51" s="115">
        <f aca="true" t="shared" si="20" ref="F51:Q51">F52+F55</f>
        <v>1800</v>
      </c>
      <c r="G51" s="115">
        <f t="shared" si="20"/>
        <v>10200</v>
      </c>
      <c r="H51" s="115">
        <f t="shared" si="20"/>
        <v>12000</v>
      </c>
      <c r="I51" s="115">
        <f t="shared" si="20"/>
        <v>1800</v>
      </c>
      <c r="J51" s="115">
        <f t="shared" si="20"/>
        <v>0</v>
      </c>
      <c r="K51" s="115">
        <f t="shared" si="20"/>
        <v>0</v>
      </c>
      <c r="L51" s="115">
        <f t="shared" si="20"/>
        <v>1800</v>
      </c>
      <c r="M51" s="115">
        <f t="shared" si="20"/>
        <v>10200</v>
      </c>
      <c r="N51" s="115">
        <f t="shared" si="20"/>
        <v>0</v>
      </c>
      <c r="O51" s="115">
        <f t="shared" si="20"/>
        <v>0</v>
      </c>
      <c r="P51" s="115">
        <f t="shared" si="20"/>
        <v>0</v>
      </c>
      <c r="Q51" s="115">
        <f t="shared" si="20"/>
        <v>10200</v>
      </c>
    </row>
    <row r="52" spans="1:17" s="136" customFormat="1" ht="12.75">
      <c r="A52" s="556"/>
      <c r="B52" s="263">
        <v>2010</v>
      </c>
      <c r="C52" s="34"/>
      <c r="D52" s="138"/>
      <c r="E52" s="115">
        <f>SUM(E53:E54)</f>
        <v>4000</v>
      </c>
      <c r="F52" s="115">
        <f aca="true" t="shared" si="21" ref="F52:Q52">SUM(F53:F54)</f>
        <v>600</v>
      </c>
      <c r="G52" s="115">
        <f t="shared" si="21"/>
        <v>3400</v>
      </c>
      <c r="H52" s="115">
        <f t="shared" si="21"/>
        <v>4000</v>
      </c>
      <c r="I52" s="115">
        <f t="shared" si="21"/>
        <v>600</v>
      </c>
      <c r="J52" s="115">
        <f t="shared" si="21"/>
        <v>0</v>
      </c>
      <c r="K52" s="115">
        <f t="shared" si="21"/>
        <v>0</v>
      </c>
      <c r="L52" s="115">
        <f t="shared" si="21"/>
        <v>600</v>
      </c>
      <c r="M52" s="115">
        <f t="shared" si="21"/>
        <v>3400</v>
      </c>
      <c r="N52" s="115">
        <f t="shared" si="21"/>
        <v>0</v>
      </c>
      <c r="O52" s="115">
        <f t="shared" si="21"/>
        <v>0</v>
      </c>
      <c r="P52" s="115">
        <f t="shared" si="21"/>
        <v>0</v>
      </c>
      <c r="Q52" s="115">
        <f t="shared" si="21"/>
        <v>3400</v>
      </c>
    </row>
    <row r="53" spans="1:17" s="315" customFormat="1" ht="12.75">
      <c r="A53" s="557"/>
      <c r="B53" s="310"/>
      <c r="C53" s="311"/>
      <c r="D53" s="311">
        <v>6068</v>
      </c>
      <c r="E53" s="312">
        <f>SUM(F53:G53)</f>
        <v>3400</v>
      </c>
      <c r="F53" s="313"/>
      <c r="G53" s="313">
        <f>H53</f>
        <v>3400</v>
      </c>
      <c r="H53" s="314">
        <f>I53+M53</f>
        <v>3400</v>
      </c>
      <c r="I53" s="314">
        <f>SUM(J53:L53)</f>
        <v>0</v>
      </c>
      <c r="J53" s="313">
        <f>SUM(J54:J54)</f>
        <v>0</v>
      </c>
      <c r="K53" s="313">
        <f>SUM(K54:K54)</f>
        <v>0</v>
      </c>
      <c r="L53" s="316"/>
      <c r="M53" s="314">
        <f>SUM(N53:Q53)</f>
        <v>3400</v>
      </c>
      <c r="N53" s="313">
        <f>SUM(N54:N54)</f>
        <v>0</v>
      </c>
      <c r="O53" s="313">
        <f>SUM(O54:O54)</f>
        <v>0</v>
      </c>
      <c r="P53" s="313">
        <f>SUM(P54:P54)</f>
        <v>0</v>
      </c>
      <c r="Q53" s="316">
        <v>3400</v>
      </c>
    </row>
    <row r="54" spans="1:17" s="315" customFormat="1" ht="12.75">
      <c r="A54" s="557"/>
      <c r="B54" s="310"/>
      <c r="C54" s="311"/>
      <c r="D54" s="311">
        <v>6069</v>
      </c>
      <c r="E54" s="312">
        <f>SUM(F54:G54)</f>
        <v>600</v>
      </c>
      <c r="F54" s="313">
        <f>H54</f>
        <v>600</v>
      </c>
      <c r="G54" s="313"/>
      <c r="H54" s="314">
        <f>I54+M54</f>
        <v>600</v>
      </c>
      <c r="I54" s="314">
        <f>SUM(J54:L54)</f>
        <v>600</v>
      </c>
      <c r="J54" s="311"/>
      <c r="K54" s="311"/>
      <c r="L54" s="316">
        <v>600</v>
      </c>
      <c r="M54" s="314">
        <f>SUM(N54:Q54)</f>
        <v>0</v>
      </c>
      <c r="N54" s="311"/>
      <c r="O54" s="311"/>
      <c r="P54" s="311"/>
      <c r="Q54" s="316"/>
    </row>
    <row r="55" spans="1:17" ht="12.75">
      <c r="A55" s="556"/>
      <c r="B55" s="132">
        <v>2009</v>
      </c>
      <c r="C55" s="131"/>
      <c r="D55" s="132"/>
      <c r="E55" s="115">
        <f>SUM(F55:G55)</f>
        <v>8000</v>
      </c>
      <c r="F55" s="133">
        <f>L55</f>
        <v>1200</v>
      </c>
      <c r="G55" s="133">
        <f>Q55</f>
        <v>6800</v>
      </c>
      <c r="H55" s="131">
        <f>I55+M55</f>
        <v>8000</v>
      </c>
      <c r="I55" s="131">
        <f>SUM(J55:L55)</f>
        <v>1200</v>
      </c>
      <c r="J55" s="131"/>
      <c r="K55" s="131"/>
      <c r="L55" s="133">
        <v>1200</v>
      </c>
      <c r="M55" s="131">
        <f>SUM(N55:Q55)</f>
        <v>6800</v>
      </c>
      <c r="N55" s="131"/>
      <c r="O55" s="131"/>
      <c r="P55" s="131"/>
      <c r="Q55" s="133">
        <v>6800</v>
      </c>
    </row>
    <row r="56" spans="1:17" s="136" customFormat="1" ht="11.25">
      <c r="A56" s="556"/>
      <c r="B56" s="132"/>
      <c r="C56" s="134"/>
      <c r="D56" s="134"/>
      <c r="E56" s="352"/>
      <c r="F56" s="133"/>
      <c r="G56" s="133"/>
      <c r="H56" s="131"/>
      <c r="I56" s="131"/>
      <c r="J56" s="134"/>
      <c r="K56" s="131"/>
      <c r="L56" s="134"/>
      <c r="M56" s="134"/>
      <c r="N56" s="131"/>
      <c r="O56" s="134"/>
      <c r="P56" s="134"/>
      <c r="Q56" s="134"/>
    </row>
    <row r="57" spans="1:17" s="54" customFormat="1" ht="27" customHeight="1">
      <c r="A57" s="347">
        <v>2</v>
      </c>
      <c r="B57" s="349" t="s">
        <v>528</v>
      </c>
      <c r="C57" s="607" t="s">
        <v>482</v>
      </c>
      <c r="D57" s="607"/>
      <c r="E57" s="255">
        <f>E62+E81+E110+E136+E168+E195+E222+E308+E248+E287+E308</f>
        <v>3303024.4999999995</v>
      </c>
      <c r="F57" s="255">
        <f aca="true" t="shared" si="22" ref="F57:Q57">F62+F81+F110+F136+F168+F195+F222+F308+F248+F287+F308</f>
        <v>262664.8984999999</v>
      </c>
      <c r="G57" s="255">
        <f t="shared" si="22"/>
        <v>1313267.0914999996</v>
      </c>
      <c r="H57" s="255">
        <f t="shared" si="22"/>
        <v>1575931.9899999993</v>
      </c>
      <c r="I57" s="255">
        <f t="shared" si="22"/>
        <v>262664.8984999999</v>
      </c>
      <c r="J57" s="255">
        <f t="shared" si="22"/>
        <v>0</v>
      </c>
      <c r="K57" s="255">
        <f t="shared" si="22"/>
        <v>0</v>
      </c>
      <c r="L57" s="255">
        <f t="shared" si="22"/>
        <v>262664.8984999999</v>
      </c>
      <c r="M57" s="255">
        <f t="shared" si="22"/>
        <v>1313267.0914999996</v>
      </c>
      <c r="N57" s="255">
        <f t="shared" si="22"/>
        <v>0</v>
      </c>
      <c r="O57" s="255">
        <f t="shared" si="22"/>
        <v>0</v>
      </c>
      <c r="P57" s="255">
        <f t="shared" si="22"/>
        <v>0</v>
      </c>
      <c r="Q57" s="255">
        <f t="shared" si="22"/>
        <v>1313267.0914999996</v>
      </c>
    </row>
    <row r="58" spans="1:17" ht="15.75" customHeight="1">
      <c r="A58" s="608" t="s">
        <v>529</v>
      </c>
      <c r="B58" s="132" t="s">
        <v>521</v>
      </c>
      <c r="C58" s="610" t="s">
        <v>393</v>
      </c>
      <c r="D58" s="610"/>
      <c r="E58" s="610"/>
      <c r="F58" s="610"/>
      <c r="G58" s="610"/>
      <c r="H58" s="610"/>
      <c r="I58" s="610"/>
      <c r="J58" s="610"/>
      <c r="K58" s="610"/>
      <c r="L58" s="610"/>
      <c r="M58" s="610"/>
      <c r="N58" s="610"/>
      <c r="O58" s="610"/>
      <c r="P58" s="610"/>
      <c r="Q58" s="610"/>
    </row>
    <row r="59" spans="1:17" ht="12.75" customHeight="1">
      <c r="A59" s="608"/>
      <c r="B59" s="132" t="s">
        <v>522</v>
      </c>
      <c r="C59" s="610"/>
      <c r="D59" s="610"/>
      <c r="E59" s="610"/>
      <c r="F59" s="610"/>
      <c r="G59" s="610"/>
      <c r="H59" s="610"/>
      <c r="I59" s="610"/>
      <c r="J59" s="610"/>
      <c r="K59" s="610"/>
      <c r="L59" s="610"/>
      <c r="M59" s="610"/>
      <c r="N59" s="610"/>
      <c r="O59" s="610"/>
      <c r="P59" s="610"/>
      <c r="Q59" s="610"/>
    </row>
    <row r="60" spans="1:17" ht="12.75" customHeight="1">
      <c r="A60" s="608"/>
      <c r="B60" s="132" t="s">
        <v>523</v>
      </c>
      <c r="C60" s="610"/>
      <c r="D60" s="610"/>
      <c r="E60" s="610"/>
      <c r="F60" s="610"/>
      <c r="G60" s="610"/>
      <c r="H60" s="610"/>
      <c r="I60" s="610"/>
      <c r="J60" s="610"/>
      <c r="K60" s="610"/>
      <c r="L60" s="610"/>
      <c r="M60" s="610"/>
      <c r="N60" s="610"/>
      <c r="O60" s="610"/>
      <c r="P60" s="610"/>
      <c r="Q60" s="610"/>
    </row>
    <row r="61" spans="1:17" ht="12.75" customHeight="1">
      <c r="A61" s="608"/>
      <c r="B61" s="132" t="s">
        <v>524</v>
      </c>
      <c r="C61" s="610"/>
      <c r="D61" s="610"/>
      <c r="E61" s="610"/>
      <c r="F61" s="610"/>
      <c r="G61" s="610"/>
      <c r="H61" s="610"/>
      <c r="I61" s="610"/>
      <c r="J61" s="610"/>
      <c r="K61" s="610"/>
      <c r="L61" s="610"/>
      <c r="M61" s="610"/>
      <c r="N61" s="610"/>
      <c r="O61" s="610"/>
      <c r="P61" s="610"/>
      <c r="Q61" s="610"/>
    </row>
    <row r="62" spans="1:17" s="137" customFormat="1" ht="12.75">
      <c r="A62" s="608"/>
      <c r="B62" s="263" t="s">
        <v>525</v>
      </c>
      <c r="C62" s="34"/>
      <c r="D62" s="138" t="s">
        <v>685</v>
      </c>
      <c r="E62" s="115">
        <f>E70+E71</f>
        <v>0</v>
      </c>
      <c r="F62" s="115">
        <f aca="true" t="shared" si="23" ref="F62:Q62">F70+F71</f>
        <v>0</v>
      </c>
      <c r="G62" s="115">
        <f t="shared" si="23"/>
        <v>0</v>
      </c>
      <c r="H62" s="115">
        <f t="shared" si="23"/>
        <v>0</v>
      </c>
      <c r="I62" s="115">
        <f t="shared" si="23"/>
        <v>0</v>
      </c>
      <c r="J62" s="115">
        <f t="shared" si="23"/>
        <v>0</v>
      </c>
      <c r="K62" s="115">
        <f t="shared" si="23"/>
        <v>0</v>
      </c>
      <c r="L62" s="115">
        <f t="shared" si="23"/>
        <v>0</v>
      </c>
      <c r="M62" s="115">
        <f t="shared" si="23"/>
        <v>0</v>
      </c>
      <c r="N62" s="115">
        <f t="shared" si="23"/>
        <v>0</v>
      </c>
      <c r="O62" s="115">
        <f t="shared" si="23"/>
        <v>0</v>
      </c>
      <c r="P62" s="115">
        <f t="shared" si="23"/>
        <v>0</v>
      </c>
      <c r="Q62" s="247">
        <f t="shared" si="23"/>
        <v>0</v>
      </c>
    </row>
    <row r="63" spans="1:17" s="137" customFormat="1" ht="12.75" hidden="1">
      <c r="A63" s="608"/>
      <c r="B63" s="132" t="s">
        <v>394</v>
      </c>
      <c r="C63" s="34"/>
      <c r="D63" s="138" t="s">
        <v>402</v>
      </c>
      <c r="E63" s="115"/>
      <c r="F63" s="115"/>
      <c r="G63" s="115"/>
      <c r="H63" s="115"/>
      <c r="I63" s="115"/>
      <c r="J63" s="115"/>
      <c r="K63" s="115"/>
      <c r="L63" s="115"/>
      <c r="M63" s="115"/>
      <c r="N63" s="115"/>
      <c r="O63" s="115"/>
      <c r="P63" s="115"/>
      <c r="Q63" s="115">
        <f>'[1]2'!G538</f>
        <v>0</v>
      </c>
    </row>
    <row r="64" spans="1:17" s="137" customFormat="1" ht="22.5" hidden="1">
      <c r="A64" s="608"/>
      <c r="B64" s="132" t="s">
        <v>395</v>
      </c>
      <c r="C64" s="34"/>
      <c r="D64" s="138" t="s">
        <v>403</v>
      </c>
      <c r="E64" s="115"/>
      <c r="F64" s="115"/>
      <c r="G64" s="115"/>
      <c r="H64" s="115"/>
      <c r="I64" s="115"/>
      <c r="J64" s="115"/>
      <c r="K64" s="115"/>
      <c r="L64" s="115"/>
      <c r="M64" s="115"/>
      <c r="N64" s="115"/>
      <c r="O64" s="115"/>
      <c r="P64" s="115"/>
      <c r="Q64" s="115"/>
    </row>
    <row r="65" spans="1:17" s="137" customFormat="1" ht="12.75" hidden="1">
      <c r="A65" s="608"/>
      <c r="B65" s="132" t="s">
        <v>396</v>
      </c>
      <c r="C65" s="34"/>
      <c r="D65" s="138" t="s">
        <v>404</v>
      </c>
      <c r="E65" s="115"/>
      <c r="F65" s="115"/>
      <c r="G65" s="115"/>
      <c r="H65" s="115"/>
      <c r="I65" s="115"/>
      <c r="J65" s="115"/>
      <c r="K65" s="115"/>
      <c r="L65" s="115"/>
      <c r="M65" s="115"/>
      <c r="N65" s="115"/>
      <c r="O65" s="115"/>
      <c r="P65" s="115"/>
      <c r="Q65" s="115"/>
    </row>
    <row r="66" spans="1:17" s="137" customFormat="1" ht="22.5" hidden="1">
      <c r="A66" s="608"/>
      <c r="B66" s="132" t="s">
        <v>397</v>
      </c>
      <c r="C66" s="34"/>
      <c r="D66" s="138" t="s">
        <v>405</v>
      </c>
      <c r="E66" s="115"/>
      <c r="F66" s="115"/>
      <c r="G66" s="115"/>
      <c r="H66" s="115"/>
      <c r="I66" s="115"/>
      <c r="J66" s="115"/>
      <c r="K66" s="115"/>
      <c r="L66" s="115"/>
      <c r="M66" s="115"/>
      <c r="N66" s="115"/>
      <c r="O66" s="115"/>
      <c r="P66" s="115"/>
      <c r="Q66" s="115"/>
    </row>
    <row r="67" spans="1:17" s="137" customFormat="1" ht="22.5" hidden="1">
      <c r="A67" s="608"/>
      <c r="B67" s="132" t="s">
        <v>254</v>
      </c>
      <c r="C67" s="34"/>
      <c r="D67" s="138" t="s">
        <v>253</v>
      </c>
      <c r="E67" s="115"/>
      <c r="F67" s="115"/>
      <c r="G67" s="115"/>
      <c r="H67" s="115"/>
      <c r="I67" s="115"/>
      <c r="J67" s="115"/>
      <c r="K67" s="115"/>
      <c r="L67" s="115"/>
      <c r="M67" s="115"/>
      <c r="N67" s="115"/>
      <c r="O67" s="115"/>
      <c r="P67" s="115"/>
      <c r="Q67" s="115"/>
    </row>
    <row r="68" spans="1:17" s="137" customFormat="1" ht="33.75" hidden="1">
      <c r="A68" s="608"/>
      <c r="B68" s="132" t="s">
        <v>398</v>
      </c>
      <c r="C68" s="34"/>
      <c r="D68" s="138" t="s">
        <v>406</v>
      </c>
      <c r="E68" s="115"/>
      <c r="F68" s="115"/>
      <c r="G68" s="115"/>
      <c r="H68" s="115"/>
      <c r="I68" s="115"/>
      <c r="J68" s="115"/>
      <c r="K68" s="115"/>
      <c r="L68" s="115"/>
      <c r="M68" s="115"/>
      <c r="N68" s="115"/>
      <c r="O68" s="115"/>
      <c r="P68" s="115"/>
      <c r="Q68" s="115">
        <f>'[1]2'!L566</f>
        <v>0</v>
      </c>
    </row>
    <row r="69" spans="1:17" s="137" customFormat="1" ht="12.75" hidden="1">
      <c r="A69" s="608"/>
      <c r="B69" s="263"/>
      <c r="C69" s="34"/>
      <c r="D69" s="138"/>
      <c r="E69" s="115"/>
      <c r="F69" s="135"/>
      <c r="G69" s="135"/>
      <c r="H69" s="131"/>
      <c r="I69" s="34"/>
      <c r="J69" s="135"/>
      <c r="K69" s="135"/>
      <c r="L69" s="135"/>
      <c r="M69" s="34"/>
      <c r="N69" s="135"/>
      <c r="O69" s="135"/>
      <c r="P69" s="135"/>
      <c r="Q69" s="135"/>
    </row>
    <row r="70" spans="1:17" s="136" customFormat="1" ht="12.75">
      <c r="A70" s="608"/>
      <c r="B70" s="132" t="s">
        <v>364</v>
      </c>
      <c r="C70" s="134"/>
      <c r="D70" s="134"/>
      <c r="E70" s="133">
        <f aca="true" t="shared" si="24" ref="E70:E76">F70+G70</f>
        <v>0</v>
      </c>
      <c r="F70" s="133"/>
      <c r="G70" s="133"/>
      <c r="H70" s="133">
        <f aca="true" t="shared" si="25" ref="H70:H76">I70+M70</f>
        <v>0</v>
      </c>
      <c r="I70" s="133">
        <f>J70+K70+L70</f>
        <v>0</v>
      </c>
      <c r="J70" s="133"/>
      <c r="K70" s="133"/>
      <c r="L70" s="133"/>
      <c r="M70" s="115"/>
      <c r="N70" s="133"/>
      <c r="O70" s="133"/>
      <c r="P70" s="133"/>
      <c r="Q70" s="133">
        <f>SUM(Q63:Q68)</f>
        <v>0</v>
      </c>
    </row>
    <row r="71" spans="1:17" s="136" customFormat="1" ht="12.75">
      <c r="A71" s="608"/>
      <c r="B71" s="132" t="s">
        <v>336</v>
      </c>
      <c r="C71" s="134"/>
      <c r="D71" s="134"/>
      <c r="E71" s="133">
        <f t="shared" si="24"/>
        <v>0</v>
      </c>
      <c r="F71" s="131"/>
      <c r="G71" s="115">
        <f aca="true" t="shared" si="26" ref="G71:G76">M71</f>
        <v>0</v>
      </c>
      <c r="H71" s="133">
        <f t="shared" si="25"/>
        <v>0</v>
      </c>
      <c r="I71" s="133">
        <f>J71+K71+L71</f>
        <v>0</v>
      </c>
      <c r="J71" s="134"/>
      <c r="K71" s="134"/>
      <c r="L71" s="243"/>
      <c r="M71" s="115">
        <f aca="true" t="shared" si="27" ref="M71:M76">SUM(N71:Q71)</f>
        <v>0</v>
      </c>
      <c r="N71" s="134"/>
      <c r="O71" s="134"/>
      <c r="P71" s="134"/>
      <c r="Q71" s="243">
        <f>SUM(Q72:Q76)</f>
        <v>0</v>
      </c>
    </row>
    <row r="72" spans="1:17" s="137" customFormat="1" ht="22.5">
      <c r="A72" s="608"/>
      <c r="B72" s="132" t="s">
        <v>290</v>
      </c>
      <c r="C72" s="34"/>
      <c r="D72" s="138">
        <v>4048</v>
      </c>
      <c r="E72" s="133">
        <f t="shared" si="24"/>
        <v>0</v>
      </c>
      <c r="F72" s="115"/>
      <c r="G72" s="115">
        <f t="shared" si="26"/>
        <v>0</v>
      </c>
      <c r="H72" s="133">
        <f t="shared" si="25"/>
        <v>0</v>
      </c>
      <c r="I72" s="133">
        <f>J72+K72+L72</f>
        <v>0</v>
      </c>
      <c r="J72" s="115"/>
      <c r="K72" s="115"/>
      <c r="L72" s="115"/>
      <c r="M72" s="115">
        <f t="shared" si="27"/>
        <v>0</v>
      </c>
      <c r="N72" s="115"/>
      <c r="O72" s="115"/>
      <c r="P72" s="115"/>
      <c r="Q72" s="115"/>
    </row>
    <row r="73" spans="1:17" s="137" customFormat="1" ht="12.75">
      <c r="A73" s="608"/>
      <c r="B73" s="132" t="s">
        <v>343</v>
      </c>
      <c r="C73" s="34"/>
      <c r="D73" s="138"/>
      <c r="E73" s="133">
        <f t="shared" si="24"/>
        <v>0</v>
      </c>
      <c r="F73" s="115"/>
      <c r="G73" s="115">
        <f t="shared" si="26"/>
        <v>0</v>
      </c>
      <c r="H73" s="133"/>
      <c r="I73" s="133"/>
      <c r="J73" s="115"/>
      <c r="K73" s="115"/>
      <c r="L73" s="115"/>
      <c r="M73" s="115">
        <f t="shared" si="27"/>
        <v>0</v>
      </c>
      <c r="N73" s="115"/>
      <c r="O73" s="115"/>
      <c r="P73" s="115"/>
      <c r="Q73" s="115"/>
    </row>
    <row r="74" spans="1:17" s="137" customFormat="1" ht="22.5">
      <c r="A74" s="608"/>
      <c r="B74" s="132" t="s">
        <v>395</v>
      </c>
      <c r="C74" s="34"/>
      <c r="D74" s="138">
        <v>4118</v>
      </c>
      <c r="E74" s="133">
        <f t="shared" si="24"/>
        <v>0</v>
      </c>
      <c r="F74" s="115"/>
      <c r="G74" s="115">
        <f t="shared" si="26"/>
        <v>0</v>
      </c>
      <c r="H74" s="133">
        <f t="shared" si="25"/>
        <v>0</v>
      </c>
      <c r="I74" s="133">
        <f>J74+K74+L74</f>
        <v>0</v>
      </c>
      <c r="J74" s="115"/>
      <c r="K74" s="115"/>
      <c r="L74" s="115"/>
      <c r="M74" s="115">
        <f t="shared" si="27"/>
        <v>0</v>
      </c>
      <c r="N74" s="115"/>
      <c r="O74" s="115"/>
      <c r="P74" s="115"/>
      <c r="Q74" s="115"/>
    </row>
    <row r="75" spans="1:17" s="137" customFormat="1" ht="12.75">
      <c r="A75" s="608"/>
      <c r="B75" s="132" t="s">
        <v>396</v>
      </c>
      <c r="C75" s="34"/>
      <c r="D75" s="138">
        <v>4128</v>
      </c>
      <c r="E75" s="133">
        <f t="shared" si="24"/>
        <v>0</v>
      </c>
      <c r="F75" s="115"/>
      <c r="G75" s="115">
        <f t="shared" si="26"/>
        <v>0</v>
      </c>
      <c r="H75" s="133">
        <f t="shared" si="25"/>
        <v>0</v>
      </c>
      <c r="I75" s="115"/>
      <c r="J75" s="115"/>
      <c r="K75" s="115"/>
      <c r="L75" s="115"/>
      <c r="M75" s="115">
        <f t="shared" si="27"/>
        <v>0</v>
      </c>
      <c r="N75" s="115"/>
      <c r="O75" s="115"/>
      <c r="P75" s="115"/>
      <c r="Q75" s="115"/>
    </row>
    <row r="76" spans="1:17" s="137" customFormat="1" ht="12.75">
      <c r="A76" s="608"/>
      <c r="B76" s="132" t="s">
        <v>295</v>
      </c>
      <c r="C76" s="34"/>
      <c r="D76" s="138">
        <v>4308</v>
      </c>
      <c r="E76" s="133">
        <f t="shared" si="24"/>
        <v>0</v>
      </c>
      <c r="F76" s="115"/>
      <c r="G76" s="115">
        <f t="shared" si="26"/>
        <v>0</v>
      </c>
      <c r="H76" s="133">
        <f t="shared" si="25"/>
        <v>0</v>
      </c>
      <c r="I76" s="133">
        <f>J76+K76+L76</f>
        <v>0</v>
      </c>
      <c r="J76" s="115"/>
      <c r="K76" s="115"/>
      <c r="L76" s="115"/>
      <c r="M76" s="115">
        <f t="shared" si="27"/>
        <v>0</v>
      </c>
      <c r="N76" s="115"/>
      <c r="O76" s="115"/>
      <c r="P76" s="115"/>
      <c r="Q76" s="115">
        <f>'[1]2'!L552</f>
        <v>0</v>
      </c>
    </row>
    <row r="77" spans="1:17" s="136" customFormat="1" ht="21.75" customHeight="1">
      <c r="A77" s="556" t="s">
        <v>530</v>
      </c>
      <c r="B77" s="132" t="s">
        <v>521</v>
      </c>
      <c r="C77" s="610" t="s">
        <v>426</v>
      </c>
      <c r="D77" s="610"/>
      <c r="E77" s="610"/>
      <c r="F77" s="610"/>
      <c r="G77" s="610"/>
      <c r="H77" s="610"/>
      <c r="I77" s="610"/>
      <c r="J77" s="610"/>
      <c r="K77" s="610"/>
      <c r="L77" s="610"/>
      <c r="M77" s="610"/>
      <c r="N77" s="610"/>
      <c r="O77" s="610"/>
      <c r="P77" s="610"/>
      <c r="Q77" s="610"/>
    </row>
    <row r="78" spans="1:17" s="136" customFormat="1" ht="11.25" customHeight="1">
      <c r="A78" s="556"/>
      <c r="B78" s="132" t="s">
        <v>522</v>
      </c>
      <c r="C78" s="610"/>
      <c r="D78" s="610"/>
      <c r="E78" s="610"/>
      <c r="F78" s="610"/>
      <c r="G78" s="610"/>
      <c r="H78" s="610"/>
      <c r="I78" s="610"/>
      <c r="J78" s="610"/>
      <c r="K78" s="610"/>
      <c r="L78" s="610"/>
      <c r="M78" s="610"/>
      <c r="N78" s="610"/>
      <c r="O78" s="610"/>
      <c r="P78" s="610"/>
      <c r="Q78" s="610"/>
    </row>
    <row r="79" spans="1:17" s="136" customFormat="1" ht="11.25" customHeight="1">
      <c r="A79" s="556"/>
      <c r="B79" s="132" t="s">
        <v>523</v>
      </c>
      <c r="C79" s="610"/>
      <c r="D79" s="610"/>
      <c r="E79" s="610"/>
      <c r="F79" s="610"/>
      <c r="G79" s="610"/>
      <c r="H79" s="610"/>
      <c r="I79" s="610"/>
      <c r="J79" s="610"/>
      <c r="K79" s="610"/>
      <c r="L79" s="610"/>
      <c r="M79" s="610"/>
      <c r="N79" s="610"/>
      <c r="O79" s="610"/>
      <c r="P79" s="610"/>
      <c r="Q79" s="610"/>
    </row>
    <row r="80" spans="1:17" s="136" customFormat="1" ht="11.25" customHeight="1">
      <c r="A80" s="556"/>
      <c r="B80" s="132" t="s">
        <v>524</v>
      </c>
      <c r="C80" s="610"/>
      <c r="D80" s="610"/>
      <c r="E80" s="610"/>
      <c r="F80" s="610"/>
      <c r="G80" s="610"/>
      <c r="H80" s="610"/>
      <c r="I80" s="610"/>
      <c r="J80" s="610"/>
      <c r="K80" s="610"/>
      <c r="L80" s="610"/>
      <c r="M80" s="610"/>
      <c r="N80" s="610"/>
      <c r="O80" s="610"/>
      <c r="P80" s="610"/>
      <c r="Q80" s="610"/>
    </row>
    <row r="81" spans="1:17" s="136" customFormat="1" ht="12.75">
      <c r="A81" s="556"/>
      <c r="B81" s="263" t="s">
        <v>525</v>
      </c>
      <c r="C81" s="34"/>
      <c r="D81" s="138" t="s">
        <v>684</v>
      </c>
      <c r="E81" s="115">
        <f>E103+E104</f>
        <v>385654.45999999996</v>
      </c>
      <c r="F81" s="115">
        <f aca="true" t="shared" si="28" ref="F81:Q81">F103+F104</f>
        <v>37355</v>
      </c>
      <c r="G81" s="115">
        <f t="shared" si="28"/>
        <v>211680</v>
      </c>
      <c r="H81" s="115">
        <f t="shared" si="28"/>
        <v>249035</v>
      </c>
      <c r="I81" s="115">
        <f t="shared" si="28"/>
        <v>37355</v>
      </c>
      <c r="J81" s="115">
        <f t="shared" si="28"/>
        <v>0</v>
      </c>
      <c r="K81" s="115">
        <f t="shared" si="28"/>
        <v>0</v>
      </c>
      <c r="L81" s="115">
        <f t="shared" si="28"/>
        <v>37355</v>
      </c>
      <c r="M81" s="115">
        <f t="shared" si="28"/>
        <v>211680</v>
      </c>
      <c r="N81" s="115">
        <f t="shared" si="28"/>
        <v>0</v>
      </c>
      <c r="O81" s="115">
        <f t="shared" si="28"/>
        <v>0</v>
      </c>
      <c r="P81" s="115">
        <f t="shared" si="28"/>
        <v>0</v>
      </c>
      <c r="Q81" s="247">
        <f t="shared" si="28"/>
        <v>211680</v>
      </c>
    </row>
    <row r="82" spans="1:17" s="136" customFormat="1" ht="22.5">
      <c r="A82" s="556"/>
      <c r="B82" s="77" t="s">
        <v>653</v>
      </c>
      <c r="C82" s="34"/>
      <c r="D82" s="252">
        <v>4018</v>
      </c>
      <c r="E82" s="115">
        <f>F82+G82</f>
        <v>7711</v>
      </c>
      <c r="F82" s="115"/>
      <c r="G82" s="247">
        <f>Q82</f>
        <v>7711</v>
      </c>
      <c r="H82" s="115">
        <f>I82+M82</f>
        <v>7711</v>
      </c>
      <c r="I82" s="115">
        <f>SUM(J82:L82)</f>
        <v>0</v>
      </c>
      <c r="J82" s="115"/>
      <c r="K82" s="115"/>
      <c r="L82" s="115"/>
      <c r="M82" s="115">
        <f>SUM(N82:Q82)</f>
        <v>7711</v>
      </c>
      <c r="N82" s="115"/>
      <c r="O82" s="115"/>
      <c r="P82" s="115"/>
      <c r="Q82" s="404">
        <v>7711</v>
      </c>
    </row>
    <row r="83" spans="1:17" s="136" customFormat="1" ht="22.5">
      <c r="A83" s="556"/>
      <c r="B83" s="77" t="s">
        <v>653</v>
      </c>
      <c r="C83" s="34"/>
      <c r="D83" s="252">
        <v>4019</v>
      </c>
      <c r="E83" s="115">
        <f>F83+G83</f>
        <v>1155</v>
      </c>
      <c r="F83" s="115">
        <f>L83</f>
        <v>1155</v>
      </c>
      <c r="G83" s="247"/>
      <c r="H83" s="115">
        <f>I83+M83</f>
        <v>1155</v>
      </c>
      <c r="I83" s="115">
        <f>SUM(J83:L83)</f>
        <v>1155</v>
      </c>
      <c r="J83" s="115"/>
      <c r="K83" s="115"/>
      <c r="L83" s="404">
        <f>204+951</f>
        <v>1155</v>
      </c>
      <c r="M83" s="115">
        <f>SUM(N83:Q83)</f>
        <v>0</v>
      </c>
      <c r="N83" s="115"/>
      <c r="O83" s="115"/>
      <c r="P83" s="115"/>
      <c r="Q83" s="247"/>
    </row>
    <row r="84" spans="1:17" s="136" customFormat="1" ht="22.5">
      <c r="A84" s="556"/>
      <c r="B84" s="77" t="s">
        <v>59</v>
      </c>
      <c r="C84" s="34"/>
      <c r="D84" s="252">
        <v>4118</v>
      </c>
      <c r="E84" s="115">
        <f aca="true" t="shared" si="29" ref="E84:E102">F84+G84</f>
        <v>2753</v>
      </c>
      <c r="F84" s="115"/>
      <c r="G84" s="247">
        <f>Q84</f>
        <v>2753</v>
      </c>
      <c r="H84" s="115">
        <f aca="true" t="shared" si="30" ref="H84:H102">I84+M84</f>
        <v>2753</v>
      </c>
      <c r="I84" s="115">
        <f aca="true" t="shared" si="31" ref="I84:I102">SUM(J84:L84)</f>
        <v>0</v>
      </c>
      <c r="J84" s="115"/>
      <c r="K84" s="115"/>
      <c r="L84" s="115"/>
      <c r="M84" s="115">
        <f aca="true" t="shared" si="32" ref="M84:M102">SUM(N84:Q84)</f>
        <v>2753</v>
      </c>
      <c r="N84" s="115"/>
      <c r="O84" s="115"/>
      <c r="P84" s="115"/>
      <c r="Q84" s="404">
        <f>1171+1582</f>
        <v>2753</v>
      </c>
    </row>
    <row r="85" spans="1:17" s="136" customFormat="1" ht="22.5">
      <c r="A85" s="556"/>
      <c r="B85" s="77" t="s">
        <v>59</v>
      </c>
      <c r="C85" s="34"/>
      <c r="D85" s="252">
        <v>4119</v>
      </c>
      <c r="E85" s="115">
        <f t="shared" si="29"/>
        <v>413</v>
      </c>
      <c r="F85" s="115">
        <f>L85</f>
        <v>413</v>
      </c>
      <c r="G85" s="247"/>
      <c r="H85" s="115">
        <f t="shared" si="30"/>
        <v>413</v>
      </c>
      <c r="I85" s="115">
        <f t="shared" si="31"/>
        <v>413</v>
      </c>
      <c r="J85" s="115"/>
      <c r="K85" s="115"/>
      <c r="L85" s="404">
        <f>31+145+42+195</f>
        <v>413</v>
      </c>
      <c r="M85" s="115">
        <f t="shared" si="32"/>
        <v>0</v>
      </c>
      <c r="N85" s="115"/>
      <c r="O85" s="115"/>
      <c r="P85" s="115"/>
      <c r="Q85" s="247"/>
    </row>
    <row r="86" spans="1:17" s="136" customFormat="1" ht="12.75">
      <c r="A86" s="556"/>
      <c r="B86" s="77" t="s">
        <v>61</v>
      </c>
      <c r="C86" s="34"/>
      <c r="D86" s="252">
        <v>4128</v>
      </c>
      <c r="E86" s="115">
        <f t="shared" si="29"/>
        <v>503</v>
      </c>
      <c r="F86" s="115"/>
      <c r="G86" s="247">
        <f>Q86</f>
        <v>503</v>
      </c>
      <c r="H86" s="115">
        <f t="shared" si="30"/>
        <v>503</v>
      </c>
      <c r="I86" s="115">
        <f t="shared" si="31"/>
        <v>0</v>
      </c>
      <c r="J86" s="115"/>
      <c r="K86" s="115"/>
      <c r="L86" s="115"/>
      <c r="M86" s="115">
        <f t="shared" si="32"/>
        <v>503</v>
      </c>
      <c r="N86" s="115"/>
      <c r="O86" s="115"/>
      <c r="P86" s="115"/>
      <c r="Q86" s="404">
        <f>189+314</f>
        <v>503</v>
      </c>
    </row>
    <row r="87" spans="1:17" s="136" customFormat="1" ht="12.75">
      <c r="A87" s="556"/>
      <c r="B87" s="77" t="s">
        <v>61</v>
      </c>
      <c r="C87" s="34"/>
      <c r="D87" s="252">
        <v>4129</v>
      </c>
      <c r="E87" s="115">
        <f t="shared" si="29"/>
        <v>75</v>
      </c>
      <c r="F87" s="115">
        <f>L87</f>
        <v>75</v>
      </c>
      <c r="G87" s="247"/>
      <c r="H87" s="115">
        <f t="shared" si="30"/>
        <v>75</v>
      </c>
      <c r="I87" s="115">
        <f t="shared" si="31"/>
        <v>75</v>
      </c>
      <c r="J87" s="115"/>
      <c r="K87" s="115"/>
      <c r="L87" s="404">
        <f>5+23+8+39</f>
        <v>75</v>
      </c>
      <c r="M87" s="115">
        <f t="shared" si="32"/>
        <v>0</v>
      </c>
      <c r="N87" s="115"/>
      <c r="O87" s="115"/>
      <c r="P87" s="115"/>
      <c r="Q87" s="247"/>
    </row>
    <row r="88" spans="1:17" s="136" customFormat="1" ht="22.5">
      <c r="A88" s="556"/>
      <c r="B88" s="77" t="s">
        <v>21</v>
      </c>
      <c r="C88" s="34"/>
      <c r="D88" s="252">
        <v>4178</v>
      </c>
      <c r="E88" s="115">
        <f t="shared" si="29"/>
        <v>128725</v>
      </c>
      <c r="F88" s="115"/>
      <c r="G88" s="247">
        <f>M88</f>
        <v>128725</v>
      </c>
      <c r="H88" s="115">
        <f t="shared" si="30"/>
        <v>128725</v>
      </c>
      <c r="I88" s="115">
        <f t="shared" si="31"/>
        <v>0</v>
      </c>
      <c r="J88" s="115"/>
      <c r="K88" s="115"/>
      <c r="L88" s="115"/>
      <c r="M88" s="115">
        <f t="shared" si="32"/>
        <v>128725</v>
      </c>
      <c r="N88" s="115"/>
      <c r="O88" s="115"/>
      <c r="P88" s="115"/>
      <c r="Q88" s="404">
        <f>8697+113909+5323+796</f>
        <v>128725</v>
      </c>
    </row>
    <row r="89" spans="1:17" s="136" customFormat="1" ht="22.5">
      <c r="A89" s="556"/>
      <c r="B89" s="77" t="s">
        <v>21</v>
      </c>
      <c r="C89" s="34"/>
      <c r="D89" s="252">
        <v>4179</v>
      </c>
      <c r="E89" s="115">
        <f t="shared" si="29"/>
        <v>19283</v>
      </c>
      <c r="F89" s="115">
        <f>I89</f>
        <v>19283</v>
      </c>
      <c r="G89" s="247"/>
      <c r="H89" s="115">
        <f t="shared" si="30"/>
        <v>19283</v>
      </c>
      <c r="I89" s="115">
        <f t="shared" si="31"/>
        <v>19283</v>
      </c>
      <c r="J89" s="115"/>
      <c r="K89" s="115"/>
      <c r="L89" s="404">
        <f>230+1073+3179+14802+141+657-799</f>
        <v>19283</v>
      </c>
      <c r="M89" s="115">
        <f t="shared" si="32"/>
        <v>0</v>
      </c>
      <c r="N89" s="115"/>
      <c r="O89" s="115"/>
      <c r="P89" s="115"/>
      <c r="Q89" s="247"/>
    </row>
    <row r="90" spans="1:17" s="136" customFormat="1" ht="22.5">
      <c r="A90" s="556"/>
      <c r="B90" s="77" t="s">
        <v>658</v>
      </c>
      <c r="C90" s="34"/>
      <c r="D90" s="252">
        <v>4218</v>
      </c>
      <c r="E90" s="115">
        <f t="shared" si="29"/>
        <v>26327</v>
      </c>
      <c r="F90" s="115"/>
      <c r="G90" s="247">
        <f>M90</f>
        <v>26327</v>
      </c>
      <c r="H90" s="115">
        <f t="shared" si="30"/>
        <v>26327</v>
      </c>
      <c r="I90" s="115">
        <f t="shared" si="31"/>
        <v>0</v>
      </c>
      <c r="J90" s="115"/>
      <c r="K90" s="115"/>
      <c r="L90" s="115"/>
      <c r="M90" s="115">
        <f t="shared" si="32"/>
        <v>26327</v>
      </c>
      <c r="N90" s="115"/>
      <c r="O90" s="115"/>
      <c r="P90" s="115"/>
      <c r="Q90" s="404">
        <f>23017+3310</f>
        <v>26327</v>
      </c>
    </row>
    <row r="91" spans="1:17" s="136" customFormat="1" ht="22.5">
      <c r="A91" s="556"/>
      <c r="B91" s="77" t="s">
        <v>658</v>
      </c>
      <c r="C91" s="34"/>
      <c r="D91" s="252">
        <v>4219</v>
      </c>
      <c r="E91" s="115">
        <f t="shared" si="29"/>
        <v>3945</v>
      </c>
      <c r="F91" s="115">
        <f>H91</f>
        <v>3945</v>
      </c>
      <c r="G91" s="247"/>
      <c r="H91" s="115">
        <f t="shared" si="30"/>
        <v>3945</v>
      </c>
      <c r="I91" s="115">
        <f t="shared" si="31"/>
        <v>3945</v>
      </c>
      <c r="J91" s="115"/>
      <c r="K91" s="115"/>
      <c r="L91" s="404">
        <f>609+2840+88+408</f>
        <v>3945</v>
      </c>
      <c r="M91" s="115">
        <f t="shared" si="32"/>
        <v>0</v>
      </c>
      <c r="N91" s="115"/>
      <c r="O91" s="115"/>
      <c r="P91" s="115"/>
      <c r="Q91" s="247"/>
    </row>
    <row r="92" spans="1:17" s="136" customFormat="1" ht="12.75">
      <c r="A92" s="556"/>
      <c r="B92" s="77" t="s">
        <v>659</v>
      </c>
      <c r="C92" s="34"/>
      <c r="D92" s="252">
        <v>4268</v>
      </c>
      <c r="E92" s="115">
        <f>F92+G92</f>
        <v>4133</v>
      </c>
      <c r="F92" s="115"/>
      <c r="G92" s="247">
        <f>M92</f>
        <v>4133</v>
      </c>
      <c r="H92" s="115">
        <f>I92+M92</f>
        <v>4133</v>
      </c>
      <c r="I92" s="115">
        <f>SUM(J92:L92)</f>
        <v>0</v>
      </c>
      <c r="J92" s="115"/>
      <c r="K92" s="115"/>
      <c r="L92" s="115"/>
      <c r="M92" s="115">
        <f>SUM(N92:Q92)</f>
        <v>4133</v>
      </c>
      <c r="N92" s="115"/>
      <c r="O92" s="115"/>
      <c r="P92" s="115"/>
      <c r="Q92" s="405">
        <v>4133</v>
      </c>
    </row>
    <row r="93" spans="1:17" s="136" customFormat="1" ht="12.75">
      <c r="A93" s="556"/>
      <c r="B93" s="77" t="s">
        <v>659</v>
      </c>
      <c r="C93" s="34"/>
      <c r="D93" s="252">
        <v>4269</v>
      </c>
      <c r="E93" s="115">
        <f>F93+G93</f>
        <v>619</v>
      </c>
      <c r="F93" s="115">
        <f>H93</f>
        <v>619</v>
      </c>
      <c r="G93" s="247"/>
      <c r="H93" s="115">
        <f>I93+M93</f>
        <v>619</v>
      </c>
      <c r="I93" s="115">
        <f>SUM(J93:L93)</f>
        <v>619</v>
      </c>
      <c r="J93" s="115"/>
      <c r="K93" s="115"/>
      <c r="L93" s="405">
        <f>109+510</f>
        <v>619</v>
      </c>
      <c r="M93" s="115">
        <f>SUM(N93:Q93)</f>
        <v>0</v>
      </c>
      <c r="N93" s="115"/>
      <c r="O93" s="115"/>
      <c r="P93" s="115"/>
      <c r="Q93" s="247"/>
    </row>
    <row r="94" spans="1:17" s="136" customFormat="1" ht="12.75">
      <c r="A94" s="556"/>
      <c r="B94" s="77" t="s">
        <v>641</v>
      </c>
      <c r="C94" s="34"/>
      <c r="D94" s="252">
        <v>4308</v>
      </c>
      <c r="E94" s="115">
        <f>F94+G94</f>
        <v>35432</v>
      </c>
      <c r="F94" s="115"/>
      <c r="G94" s="247">
        <f>M94</f>
        <v>35432</v>
      </c>
      <c r="H94" s="115">
        <f>I94+M94</f>
        <v>35432</v>
      </c>
      <c r="I94" s="115">
        <f>SUM(J94:L94)</f>
        <v>0</v>
      </c>
      <c r="J94" s="115"/>
      <c r="K94" s="115"/>
      <c r="L94" s="115"/>
      <c r="M94" s="115">
        <f>SUM(N94:Q94)</f>
        <v>35432</v>
      </c>
      <c r="N94" s="115"/>
      <c r="O94" s="115"/>
      <c r="P94" s="115"/>
      <c r="Q94" s="404">
        <f>35432</f>
        <v>35432</v>
      </c>
    </row>
    <row r="95" spans="1:17" s="136" customFormat="1" ht="12.75">
      <c r="A95" s="556"/>
      <c r="B95" s="77" t="s">
        <v>641</v>
      </c>
      <c r="C95" s="34"/>
      <c r="D95" s="252">
        <v>4309</v>
      </c>
      <c r="E95" s="115">
        <f t="shared" si="29"/>
        <v>5308</v>
      </c>
      <c r="F95" s="115">
        <f>H95</f>
        <v>5308</v>
      </c>
      <c r="G95" s="247"/>
      <c r="H95" s="115">
        <f t="shared" si="30"/>
        <v>5308</v>
      </c>
      <c r="I95" s="115">
        <f t="shared" si="31"/>
        <v>5308</v>
      </c>
      <c r="J95" s="115"/>
      <c r="K95" s="115"/>
      <c r="L95" s="404">
        <f>937+4371</f>
        <v>5308</v>
      </c>
      <c r="M95" s="115">
        <f t="shared" si="32"/>
        <v>0</v>
      </c>
      <c r="N95" s="115"/>
      <c r="O95" s="115"/>
      <c r="P95" s="115"/>
      <c r="Q95" s="247"/>
    </row>
    <row r="96" spans="1:17" s="136" customFormat="1" ht="45">
      <c r="A96" s="556"/>
      <c r="B96" s="77" t="s">
        <v>24</v>
      </c>
      <c r="C96" s="34"/>
      <c r="D96" s="252">
        <v>4748</v>
      </c>
      <c r="E96" s="115">
        <f t="shared" si="29"/>
        <v>2443</v>
      </c>
      <c r="F96" s="115"/>
      <c r="G96" s="247">
        <f>M96</f>
        <v>2443</v>
      </c>
      <c r="H96" s="115">
        <f t="shared" si="30"/>
        <v>2443</v>
      </c>
      <c r="I96" s="115">
        <f t="shared" si="31"/>
        <v>0</v>
      </c>
      <c r="J96" s="115"/>
      <c r="K96" s="115"/>
      <c r="L96" s="115"/>
      <c r="M96" s="115">
        <f t="shared" si="32"/>
        <v>2443</v>
      </c>
      <c r="N96" s="115"/>
      <c r="O96" s="115"/>
      <c r="P96" s="115"/>
      <c r="Q96" s="404">
        <v>2443</v>
      </c>
    </row>
    <row r="97" spans="1:17" s="136" customFormat="1" ht="45">
      <c r="A97" s="556"/>
      <c r="B97" s="77" t="s">
        <v>24</v>
      </c>
      <c r="C97" s="34"/>
      <c r="D97" s="252">
        <v>4749</v>
      </c>
      <c r="E97" s="115">
        <f t="shared" si="29"/>
        <v>366</v>
      </c>
      <c r="F97" s="115">
        <f>H97</f>
        <v>366</v>
      </c>
      <c r="G97" s="247"/>
      <c r="H97" s="115">
        <f t="shared" si="30"/>
        <v>366</v>
      </c>
      <c r="I97" s="115">
        <f t="shared" si="31"/>
        <v>366</v>
      </c>
      <c r="J97" s="115"/>
      <c r="K97" s="115"/>
      <c r="L97" s="404">
        <f>65+301</f>
        <v>366</v>
      </c>
      <c r="M97" s="115">
        <f t="shared" si="32"/>
        <v>0</v>
      </c>
      <c r="N97" s="115"/>
      <c r="O97" s="115"/>
      <c r="P97" s="115"/>
      <c r="Q97" s="247"/>
    </row>
    <row r="98" spans="1:17" s="136" customFormat="1" ht="33.75">
      <c r="A98" s="556"/>
      <c r="B98" s="77" t="s">
        <v>337</v>
      </c>
      <c r="C98" s="34"/>
      <c r="D98" s="252">
        <v>4248</v>
      </c>
      <c r="E98" s="115">
        <f>F98+G98</f>
        <v>0</v>
      </c>
      <c r="F98" s="115">
        <f>H98</f>
        <v>0</v>
      </c>
      <c r="G98" s="247"/>
      <c r="H98" s="115">
        <f>I98+M98</f>
        <v>0</v>
      </c>
      <c r="I98" s="115">
        <f>SUM(J98:L98)</f>
        <v>0</v>
      </c>
      <c r="J98" s="115"/>
      <c r="K98" s="115"/>
      <c r="L98" s="115"/>
      <c r="M98" s="115">
        <f>SUM(N98:Q98)</f>
        <v>0</v>
      </c>
      <c r="N98" s="115"/>
      <c r="O98" s="115"/>
      <c r="P98" s="115"/>
      <c r="Q98" s="247"/>
    </row>
    <row r="99" spans="1:17" s="136" customFormat="1" ht="33.75">
      <c r="A99" s="556"/>
      <c r="B99" s="77" t="s">
        <v>337</v>
      </c>
      <c r="C99" s="34"/>
      <c r="D99" s="252">
        <v>4249</v>
      </c>
      <c r="E99" s="115">
        <f>F99+G99</f>
        <v>0</v>
      </c>
      <c r="F99" s="115">
        <f>H99</f>
        <v>0</v>
      </c>
      <c r="G99" s="247"/>
      <c r="H99" s="115">
        <f>I99+M99</f>
        <v>0</v>
      </c>
      <c r="I99" s="115">
        <f>SUM(J99:L99)</f>
        <v>0</v>
      </c>
      <c r="J99" s="115"/>
      <c r="K99" s="115"/>
      <c r="L99" s="115"/>
      <c r="M99" s="115">
        <f>SUM(N99:Q99)</f>
        <v>0</v>
      </c>
      <c r="N99" s="115"/>
      <c r="O99" s="115"/>
      <c r="P99" s="115"/>
      <c r="Q99" s="247"/>
    </row>
    <row r="100" spans="1:17" s="136" customFormat="1" ht="22.5">
      <c r="A100" s="556"/>
      <c r="B100" s="77" t="s">
        <v>566</v>
      </c>
      <c r="C100" s="34"/>
      <c r="D100" s="252"/>
      <c r="E100" s="115">
        <f>F100+G100</f>
        <v>5643</v>
      </c>
      <c r="F100" s="115">
        <f>H100</f>
        <v>5643</v>
      </c>
      <c r="G100" s="247"/>
      <c r="H100" s="115">
        <f>I100+M100</f>
        <v>5643</v>
      </c>
      <c r="I100" s="115">
        <f>SUM(J100:L100)</f>
        <v>5643</v>
      </c>
      <c r="J100" s="115"/>
      <c r="K100" s="115"/>
      <c r="L100" s="115">
        <v>5643</v>
      </c>
      <c r="M100" s="115">
        <f>SUM(N100:Q100)</f>
        <v>0</v>
      </c>
      <c r="N100" s="115"/>
      <c r="O100" s="115"/>
      <c r="P100" s="115"/>
      <c r="Q100" s="247"/>
    </row>
    <row r="101" spans="1:17" s="136" customFormat="1" ht="33.75">
      <c r="A101" s="556"/>
      <c r="B101" s="77" t="s">
        <v>64</v>
      </c>
      <c r="C101" s="34"/>
      <c r="D101" s="252">
        <v>4758</v>
      </c>
      <c r="E101" s="115">
        <f t="shared" si="29"/>
        <v>3653</v>
      </c>
      <c r="F101" s="115"/>
      <c r="G101" s="247">
        <f>M101</f>
        <v>3653</v>
      </c>
      <c r="H101" s="115">
        <f t="shared" si="30"/>
        <v>3653</v>
      </c>
      <c r="I101" s="115">
        <f t="shared" si="31"/>
        <v>0</v>
      </c>
      <c r="J101" s="115"/>
      <c r="K101" s="115"/>
      <c r="L101" s="115"/>
      <c r="M101" s="115">
        <f t="shared" si="32"/>
        <v>3653</v>
      </c>
      <c r="N101" s="115"/>
      <c r="O101" s="115"/>
      <c r="P101" s="115"/>
      <c r="Q101" s="404">
        <v>3653</v>
      </c>
    </row>
    <row r="102" spans="1:17" s="136" customFormat="1" ht="33.75">
      <c r="A102" s="556"/>
      <c r="B102" s="77" t="s">
        <v>64</v>
      </c>
      <c r="C102" s="34"/>
      <c r="D102" s="252">
        <v>4759</v>
      </c>
      <c r="E102" s="115">
        <f t="shared" si="29"/>
        <v>548</v>
      </c>
      <c r="F102" s="115">
        <f>H102</f>
        <v>548</v>
      </c>
      <c r="G102" s="247"/>
      <c r="H102" s="115">
        <f t="shared" si="30"/>
        <v>548</v>
      </c>
      <c r="I102" s="115">
        <f t="shared" si="31"/>
        <v>548</v>
      </c>
      <c r="J102" s="115"/>
      <c r="K102" s="115"/>
      <c r="L102" s="404">
        <f>97+451</f>
        <v>548</v>
      </c>
      <c r="M102" s="115">
        <f t="shared" si="32"/>
        <v>0</v>
      </c>
      <c r="N102" s="115"/>
      <c r="O102" s="115"/>
      <c r="P102" s="115"/>
      <c r="Q102" s="247"/>
    </row>
    <row r="103" spans="1:19" s="137" customFormat="1" ht="11.25">
      <c r="A103" s="558"/>
      <c r="B103" s="263" t="s">
        <v>14</v>
      </c>
      <c r="C103" s="406"/>
      <c r="D103" s="406"/>
      <c r="E103" s="135">
        <f>F103+G103</f>
        <v>249035</v>
      </c>
      <c r="F103" s="135">
        <f>SUM(F82:F102)</f>
        <v>37355</v>
      </c>
      <c r="G103" s="135">
        <f>SUM(G82:G102)</f>
        <v>211680</v>
      </c>
      <c r="H103" s="135">
        <f>I103+M103</f>
        <v>249035</v>
      </c>
      <c r="I103" s="135">
        <f>SUM(J103:L103)</f>
        <v>37355</v>
      </c>
      <c r="J103" s="135">
        <f>SUM(J82:J102)</f>
        <v>0</v>
      </c>
      <c r="K103" s="135">
        <f>SUM(K82:K102)</f>
        <v>0</v>
      </c>
      <c r="L103" s="135">
        <f>SUM(L82:L102)</f>
        <v>37355</v>
      </c>
      <c r="M103" s="135">
        <f>N103+O103+P103+Q103</f>
        <v>211680</v>
      </c>
      <c r="N103" s="135">
        <f>SUM(N82:N102)</f>
        <v>0</v>
      </c>
      <c r="O103" s="135">
        <f>SUM(O82:O102)</f>
        <v>0</v>
      </c>
      <c r="P103" s="135">
        <f>SUM(P82:P102)</f>
        <v>0</v>
      </c>
      <c r="Q103" s="135">
        <f>SUM(Q82:Q102)</f>
        <v>211680</v>
      </c>
      <c r="S103" s="407"/>
    </row>
    <row r="104" spans="1:17" s="136" customFormat="1" ht="11.25">
      <c r="A104" s="556"/>
      <c r="B104" s="132" t="s">
        <v>15</v>
      </c>
      <c r="C104" s="134"/>
      <c r="D104" s="134"/>
      <c r="E104" s="133">
        <v>136619.46</v>
      </c>
      <c r="F104" s="133"/>
      <c r="G104" s="131"/>
      <c r="H104" s="133"/>
      <c r="I104" s="133"/>
      <c r="J104" s="134"/>
      <c r="K104" s="134"/>
      <c r="L104" s="243"/>
      <c r="M104" s="133"/>
      <c r="N104" s="134"/>
      <c r="O104" s="134"/>
      <c r="P104" s="134"/>
      <c r="Q104" s="134"/>
    </row>
    <row r="105" spans="1:17" s="136" customFormat="1" ht="11.25">
      <c r="A105" s="556"/>
      <c r="B105" s="132"/>
      <c r="C105" s="134"/>
      <c r="D105" s="134"/>
      <c r="E105" s="133"/>
      <c r="F105" s="133"/>
      <c r="G105" s="131"/>
      <c r="H105" s="133"/>
      <c r="I105" s="133"/>
      <c r="J105" s="134"/>
      <c r="K105" s="134"/>
      <c r="L105" s="243"/>
      <c r="M105" s="133"/>
      <c r="N105" s="134"/>
      <c r="O105" s="134"/>
      <c r="P105" s="134"/>
      <c r="Q105" s="134"/>
    </row>
    <row r="106" spans="1:17" s="136" customFormat="1" ht="11.25" customHeight="1">
      <c r="A106" s="556" t="s">
        <v>605</v>
      </c>
      <c r="B106" s="132" t="s">
        <v>521</v>
      </c>
      <c r="C106" s="610" t="s">
        <v>249</v>
      </c>
      <c r="D106" s="610"/>
      <c r="E106" s="610"/>
      <c r="F106" s="610"/>
      <c r="G106" s="610"/>
      <c r="H106" s="610"/>
      <c r="I106" s="610"/>
      <c r="J106" s="610"/>
      <c r="K106" s="610"/>
      <c r="L106" s="610"/>
      <c r="M106" s="610"/>
      <c r="N106" s="610"/>
      <c r="O106" s="610"/>
      <c r="P106" s="610"/>
      <c r="Q106" s="610"/>
    </row>
    <row r="107" spans="1:17" s="136" customFormat="1" ht="11.25" customHeight="1">
      <c r="A107" s="556"/>
      <c r="B107" s="132" t="s">
        <v>522</v>
      </c>
      <c r="C107" s="610"/>
      <c r="D107" s="610"/>
      <c r="E107" s="610"/>
      <c r="F107" s="610"/>
      <c r="G107" s="610"/>
      <c r="H107" s="610"/>
      <c r="I107" s="610"/>
      <c r="J107" s="610"/>
      <c r="K107" s="610"/>
      <c r="L107" s="610"/>
      <c r="M107" s="610"/>
      <c r="N107" s="610"/>
      <c r="O107" s="610"/>
      <c r="P107" s="610"/>
      <c r="Q107" s="610"/>
    </row>
    <row r="108" spans="1:17" s="136" customFormat="1" ht="11.25" customHeight="1">
      <c r="A108" s="556"/>
      <c r="B108" s="132" t="s">
        <v>523</v>
      </c>
      <c r="C108" s="610"/>
      <c r="D108" s="610"/>
      <c r="E108" s="610"/>
      <c r="F108" s="610"/>
      <c r="G108" s="610"/>
      <c r="H108" s="610"/>
      <c r="I108" s="610"/>
      <c r="J108" s="610"/>
      <c r="K108" s="610"/>
      <c r="L108" s="610"/>
      <c r="M108" s="610"/>
      <c r="N108" s="610"/>
      <c r="O108" s="610"/>
      <c r="P108" s="610"/>
      <c r="Q108" s="610"/>
    </row>
    <row r="109" spans="1:17" s="136" customFormat="1" ht="11.25" customHeight="1">
      <c r="A109" s="556"/>
      <c r="B109" s="132" t="s">
        <v>524</v>
      </c>
      <c r="C109" s="610"/>
      <c r="D109" s="610"/>
      <c r="E109" s="610"/>
      <c r="F109" s="610"/>
      <c r="G109" s="610"/>
      <c r="H109" s="610"/>
      <c r="I109" s="610"/>
      <c r="J109" s="610"/>
      <c r="K109" s="610"/>
      <c r="L109" s="610"/>
      <c r="M109" s="610"/>
      <c r="N109" s="610"/>
      <c r="O109" s="610"/>
      <c r="P109" s="610"/>
      <c r="Q109" s="610"/>
    </row>
    <row r="110" spans="1:17" s="136" customFormat="1" ht="12.75">
      <c r="A110" s="556"/>
      <c r="B110" s="263" t="s">
        <v>525</v>
      </c>
      <c r="C110" s="34"/>
      <c r="D110" s="138" t="s">
        <v>308</v>
      </c>
      <c r="E110" s="115">
        <f>E129+E130+E131</f>
        <v>307425</v>
      </c>
      <c r="F110" s="115">
        <f aca="true" t="shared" si="33" ref="F110:Q110">F129+F130+F131</f>
        <v>16573</v>
      </c>
      <c r="G110" s="115">
        <f t="shared" si="33"/>
        <v>93914</v>
      </c>
      <c r="H110" s="115">
        <f t="shared" si="33"/>
        <v>110487</v>
      </c>
      <c r="I110" s="115">
        <f>I129+I130+I131</f>
        <v>16573</v>
      </c>
      <c r="J110" s="115">
        <f t="shared" si="33"/>
        <v>0</v>
      </c>
      <c r="K110" s="115">
        <f t="shared" si="33"/>
        <v>0</v>
      </c>
      <c r="L110" s="115">
        <f t="shared" si="33"/>
        <v>16573</v>
      </c>
      <c r="M110" s="115">
        <f t="shared" si="33"/>
        <v>93914</v>
      </c>
      <c r="N110" s="115">
        <f t="shared" si="33"/>
        <v>0</v>
      </c>
      <c r="O110" s="115">
        <f t="shared" si="33"/>
        <v>0</v>
      </c>
      <c r="P110" s="115">
        <f t="shared" si="33"/>
        <v>0</v>
      </c>
      <c r="Q110" s="115">
        <f t="shared" si="33"/>
        <v>93914</v>
      </c>
    </row>
    <row r="111" spans="1:17" s="136" customFormat="1" ht="22.5">
      <c r="A111" s="556"/>
      <c r="B111" s="77" t="s">
        <v>59</v>
      </c>
      <c r="C111" s="34"/>
      <c r="D111" s="252">
        <v>4118</v>
      </c>
      <c r="E111" s="115">
        <f aca="true" t="shared" si="34" ref="E111:E128">F111+G111</f>
        <v>9155</v>
      </c>
      <c r="F111" s="115">
        <f>I111</f>
        <v>0</v>
      </c>
      <c r="G111" s="247">
        <f>M111</f>
        <v>9155</v>
      </c>
      <c r="H111" s="115">
        <f>I111+M111</f>
        <v>9155</v>
      </c>
      <c r="I111" s="115">
        <f>SUM(J111:L111)</f>
        <v>0</v>
      </c>
      <c r="J111" s="115"/>
      <c r="K111" s="115"/>
      <c r="L111" s="115"/>
      <c r="M111" s="115">
        <f>SUM(N111:Q111)</f>
        <v>9155</v>
      </c>
      <c r="N111" s="115"/>
      <c r="O111" s="115"/>
      <c r="P111" s="115"/>
      <c r="Q111" s="404">
        <v>9155</v>
      </c>
    </row>
    <row r="112" spans="1:17" s="136" customFormat="1" ht="22.5">
      <c r="A112" s="556"/>
      <c r="B112" s="77" t="s">
        <v>59</v>
      </c>
      <c r="C112" s="34"/>
      <c r="D112" s="252">
        <v>4119</v>
      </c>
      <c r="E112" s="115">
        <f t="shared" si="34"/>
        <v>1616</v>
      </c>
      <c r="F112" s="115">
        <f aca="true" t="shared" si="35" ref="F112:F128">I112</f>
        <v>1616</v>
      </c>
      <c r="G112" s="247"/>
      <c r="H112" s="115">
        <f aca="true" t="shared" si="36" ref="H112:H128">I112+M112</f>
        <v>1616</v>
      </c>
      <c r="I112" s="115">
        <f aca="true" t="shared" si="37" ref="I112:I128">SUM(J112:L112)</f>
        <v>1616</v>
      </c>
      <c r="J112" s="115"/>
      <c r="K112" s="115"/>
      <c r="L112" s="404">
        <v>1616</v>
      </c>
      <c r="M112" s="115">
        <f aca="true" t="shared" si="38" ref="M112:M128">SUM(N112:Q112)</f>
        <v>0</v>
      </c>
      <c r="N112" s="115"/>
      <c r="O112" s="115"/>
      <c r="P112" s="115"/>
      <c r="Q112" s="247"/>
    </row>
    <row r="113" spans="1:17" s="136" customFormat="1" ht="12.75">
      <c r="A113" s="556"/>
      <c r="B113" s="77" t="s">
        <v>61</v>
      </c>
      <c r="C113" s="34"/>
      <c r="D113" s="252">
        <v>4128</v>
      </c>
      <c r="E113" s="115">
        <f t="shared" si="34"/>
        <v>1462</v>
      </c>
      <c r="F113" s="115">
        <f t="shared" si="35"/>
        <v>0</v>
      </c>
      <c r="G113" s="247">
        <f>M113</f>
        <v>1462</v>
      </c>
      <c r="H113" s="115">
        <f t="shared" si="36"/>
        <v>1462</v>
      </c>
      <c r="I113" s="115">
        <f t="shared" si="37"/>
        <v>0</v>
      </c>
      <c r="J113" s="115"/>
      <c r="K113" s="115"/>
      <c r="L113" s="115"/>
      <c r="M113" s="115">
        <f t="shared" si="38"/>
        <v>1462</v>
      </c>
      <c r="N113" s="115"/>
      <c r="O113" s="115"/>
      <c r="P113" s="115"/>
      <c r="Q113" s="404">
        <v>1462</v>
      </c>
    </row>
    <row r="114" spans="1:17" s="136" customFormat="1" ht="12.75">
      <c r="A114" s="556"/>
      <c r="B114" s="77" t="s">
        <v>61</v>
      </c>
      <c r="C114" s="34"/>
      <c r="D114" s="252">
        <v>4129</v>
      </c>
      <c r="E114" s="115">
        <f t="shared" si="34"/>
        <v>258</v>
      </c>
      <c r="F114" s="115">
        <f t="shared" si="35"/>
        <v>258</v>
      </c>
      <c r="G114" s="247"/>
      <c r="H114" s="115">
        <f t="shared" si="36"/>
        <v>258</v>
      </c>
      <c r="I114" s="115">
        <f t="shared" si="37"/>
        <v>258</v>
      </c>
      <c r="J114" s="115"/>
      <c r="K114" s="115"/>
      <c r="L114" s="404">
        <v>258</v>
      </c>
      <c r="M114" s="115">
        <f t="shared" si="38"/>
        <v>0</v>
      </c>
      <c r="N114" s="115"/>
      <c r="O114" s="115"/>
      <c r="P114" s="115"/>
      <c r="Q114" s="247"/>
    </row>
    <row r="115" spans="1:17" s="136" customFormat="1" ht="22.5">
      <c r="A115" s="556"/>
      <c r="B115" s="77" t="s">
        <v>338</v>
      </c>
      <c r="C115" s="34"/>
      <c r="D115" s="252">
        <v>4018</v>
      </c>
      <c r="E115" s="115">
        <f>F115+G115</f>
        <v>5355</v>
      </c>
      <c r="F115" s="115">
        <f>I115</f>
        <v>0</v>
      </c>
      <c r="G115" s="247">
        <f>M115</f>
        <v>5355</v>
      </c>
      <c r="H115" s="115">
        <f>I115+M115</f>
        <v>5355</v>
      </c>
      <c r="I115" s="115">
        <f>SUM(J115:L115)</f>
        <v>0</v>
      </c>
      <c r="J115" s="115"/>
      <c r="K115" s="115"/>
      <c r="L115" s="115"/>
      <c r="M115" s="115">
        <f>SUM(N115:Q115)</f>
        <v>5355</v>
      </c>
      <c r="N115" s="115"/>
      <c r="O115" s="115"/>
      <c r="P115" s="115"/>
      <c r="Q115" s="404">
        <v>5355</v>
      </c>
    </row>
    <row r="116" spans="1:17" s="136" customFormat="1" ht="22.5">
      <c r="A116" s="556"/>
      <c r="B116" s="77" t="s">
        <v>338</v>
      </c>
      <c r="C116" s="34"/>
      <c r="D116" s="252">
        <v>4019</v>
      </c>
      <c r="E116" s="115">
        <f>F116+G116</f>
        <v>945</v>
      </c>
      <c r="F116" s="115">
        <f>I116</f>
        <v>945</v>
      </c>
      <c r="G116" s="247"/>
      <c r="H116" s="115">
        <f>I116+M116</f>
        <v>945</v>
      </c>
      <c r="I116" s="115">
        <f>SUM(J116:L116)</f>
        <v>945</v>
      </c>
      <c r="J116" s="115"/>
      <c r="K116" s="115"/>
      <c r="L116" s="404">
        <v>945</v>
      </c>
      <c r="M116" s="115">
        <f>SUM(N116:Q116)</f>
        <v>0</v>
      </c>
      <c r="N116" s="115"/>
      <c r="O116" s="115"/>
      <c r="P116" s="115"/>
      <c r="Q116" s="247"/>
    </row>
    <row r="117" spans="1:17" s="136" customFormat="1" ht="22.5">
      <c r="A117" s="556"/>
      <c r="B117" s="77" t="s">
        <v>251</v>
      </c>
      <c r="C117" s="34"/>
      <c r="D117" s="252">
        <v>4178</v>
      </c>
      <c r="E117" s="115">
        <f t="shared" si="34"/>
        <v>54327</v>
      </c>
      <c r="F117" s="115">
        <f t="shared" si="35"/>
        <v>0</v>
      </c>
      <c r="G117" s="247">
        <f>M117</f>
        <v>54327</v>
      </c>
      <c r="H117" s="115">
        <f t="shared" si="36"/>
        <v>54327</v>
      </c>
      <c r="I117" s="115">
        <f t="shared" si="37"/>
        <v>0</v>
      </c>
      <c r="J117" s="115"/>
      <c r="K117" s="115"/>
      <c r="L117" s="115"/>
      <c r="M117" s="115">
        <f t="shared" si="38"/>
        <v>54327</v>
      </c>
      <c r="N117" s="115"/>
      <c r="O117" s="115"/>
      <c r="P117" s="115"/>
      <c r="Q117" s="404">
        <v>54327</v>
      </c>
    </row>
    <row r="118" spans="1:17" s="136" customFormat="1" ht="22.5">
      <c r="A118" s="556"/>
      <c r="B118" s="77" t="s">
        <v>251</v>
      </c>
      <c r="C118" s="34"/>
      <c r="D118" s="252">
        <v>4179</v>
      </c>
      <c r="E118" s="115">
        <f t="shared" si="34"/>
        <v>9587</v>
      </c>
      <c r="F118" s="115">
        <f t="shared" si="35"/>
        <v>9587</v>
      </c>
      <c r="G118" s="247"/>
      <c r="H118" s="115">
        <f t="shared" si="36"/>
        <v>9587</v>
      </c>
      <c r="I118" s="115">
        <f t="shared" si="37"/>
        <v>9587</v>
      </c>
      <c r="J118" s="115"/>
      <c r="K118" s="115"/>
      <c r="L118" s="404">
        <v>9587</v>
      </c>
      <c r="M118" s="115">
        <f t="shared" si="38"/>
        <v>0</v>
      </c>
      <c r="N118" s="115"/>
      <c r="O118" s="115"/>
      <c r="P118" s="115"/>
      <c r="Q118" s="247"/>
    </row>
    <row r="119" spans="1:17" s="136" customFormat="1" ht="22.5">
      <c r="A119" s="556"/>
      <c r="B119" s="77" t="s">
        <v>658</v>
      </c>
      <c r="C119" s="34"/>
      <c r="D119" s="252">
        <v>4218</v>
      </c>
      <c r="E119" s="115">
        <f t="shared" si="34"/>
        <v>6306</v>
      </c>
      <c r="F119" s="115">
        <f t="shared" si="35"/>
        <v>0</v>
      </c>
      <c r="G119" s="247">
        <f>M119</f>
        <v>6306</v>
      </c>
      <c r="H119" s="115">
        <f t="shared" si="36"/>
        <v>6306</v>
      </c>
      <c r="I119" s="115">
        <f t="shared" si="37"/>
        <v>0</v>
      </c>
      <c r="J119" s="115"/>
      <c r="K119" s="115"/>
      <c r="L119" s="115"/>
      <c r="M119" s="115">
        <f t="shared" si="38"/>
        <v>6306</v>
      </c>
      <c r="N119" s="115"/>
      <c r="O119" s="115"/>
      <c r="P119" s="115"/>
      <c r="Q119" s="404">
        <v>6306</v>
      </c>
    </row>
    <row r="120" spans="1:17" s="136" customFormat="1" ht="22.5">
      <c r="A120" s="556"/>
      <c r="B120" s="77" t="s">
        <v>658</v>
      </c>
      <c r="C120" s="34"/>
      <c r="D120" s="252">
        <v>4219</v>
      </c>
      <c r="E120" s="115">
        <f t="shared" si="34"/>
        <v>1113</v>
      </c>
      <c r="F120" s="115">
        <f t="shared" si="35"/>
        <v>1113</v>
      </c>
      <c r="G120" s="247"/>
      <c r="H120" s="115">
        <f t="shared" si="36"/>
        <v>1113</v>
      </c>
      <c r="I120" s="115">
        <f t="shared" si="37"/>
        <v>1113</v>
      </c>
      <c r="J120" s="115"/>
      <c r="K120" s="115"/>
      <c r="L120" s="404">
        <v>1113</v>
      </c>
      <c r="M120" s="115">
        <f t="shared" si="38"/>
        <v>0</v>
      </c>
      <c r="N120" s="115"/>
      <c r="O120" s="115"/>
      <c r="P120" s="115"/>
      <c r="Q120" s="247"/>
    </row>
    <row r="121" spans="1:17" s="136" customFormat="1" ht="12.75">
      <c r="A121" s="556"/>
      <c r="B121" s="77" t="s">
        <v>23</v>
      </c>
      <c r="C121" s="34"/>
      <c r="D121" s="252">
        <v>4308</v>
      </c>
      <c r="E121" s="115">
        <f t="shared" si="34"/>
        <v>13742</v>
      </c>
      <c r="F121" s="115">
        <f t="shared" si="35"/>
        <v>0</v>
      </c>
      <c r="G121" s="247">
        <f>M121</f>
        <v>13742</v>
      </c>
      <c r="H121" s="115">
        <f t="shared" si="36"/>
        <v>13742</v>
      </c>
      <c r="I121" s="115">
        <f t="shared" si="37"/>
        <v>0</v>
      </c>
      <c r="J121" s="115"/>
      <c r="K121" s="115"/>
      <c r="L121" s="115"/>
      <c r="M121" s="115">
        <f t="shared" si="38"/>
        <v>13742</v>
      </c>
      <c r="N121" s="115"/>
      <c r="O121" s="115"/>
      <c r="P121" s="115"/>
      <c r="Q121" s="404">
        <v>13742</v>
      </c>
    </row>
    <row r="122" spans="1:17" s="136" customFormat="1" ht="12.75">
      <c r="A122" s="556"/>
      <c r="B122" s="77" t="s">
        <v>23</v>
      </c>
      <c r="C122" s="34"/>
      <c r="D122" s="252">
        <v>4309</v>
      </c>
      <c r="E122" s="115">
        <f t="shared" si="34"/>
        <v>2425</v>
      </c>
      <c r="F122" s="115">
        <f t="shared" si="35"/>
        <v>2425</v>
      </c>
      <c r="G122" s="247"/>
      <c r="H122" s="115">
        <f t="shared" si="36"/>
        <v>2425</v>
      </c>
      <c r="I122" s="115">
        <f t="shared" si="37"/>
        <v>2425</v>
      </c>
      <c r="J122" s="115"/>
      <c r="K122" s="115"/>
      <c r="L122" s="404">
        <v>2425</v>
      </c>
      <c r="M122" s="115">
        <f t="shared" si="38"/>
        <v>0</v>
      </c>
      <c r="N122" s="115"/>
      <c r="O122" s="115"/>
      <c r="P122" s="115"/>
      <c r="Q122" s="247"/>
    </row>
    <row r="123" spans="1:17" s="136" customFormat="1" ht="45">
      <c r="A123" s="556"/>
      <c r="B123" s="77" t="s">
        <v>24</v>
      </c>
      <c r="C123" s="34"/>
      <c r="D123" s="252">
        <v>4748</v>
      </c>
      <c r="E123" s="115">
        <f t="shared" si="34"/>
        <v>850</v>
      </c>
      <c r="F123" s="115"/>
      <c r="G123" s="247">
        <f>M123</f>
        <v>850</v>
      </c>
      <c r="H123" s="115">
        <f t="shared" si="36"/>
        <v>850</v>
      </c>
      <c r="I123" s="115">
        <f>SUM(J123:L123)</f>
        <v>0</v>
      </c>
      <c r="J123" s="115"/>
      <c r="K123" s="115"/>
      <c r="L123" s="115"/>
      <c r="M123" s="115">
        <f t="shared" si="38"/>
        <v>850</v>
      </c>
      <c r="N123" s="115"/>
      <c r="O123" s="115"/>
      <c r="P123" s="115"/>
      <c r="Q123" s="404">
        <v>850</v>
      </c>
    </row>
    <row r="124" spans="1:17" s="136" customFormat="1" ht="45">
      <c r="A124" s="556"/>
      <c r="B124" s="77" t="s">
        <v>24</v>
      </c>
      <c r="C124" s="34"/>
      <c r="D124" s="252">
        <v>4749</v>
      </c>
      <c r="E124" s="115">
        <f t="shared" si="34"/>
        <v>150</v>
      </c>
      <c r="F124" s="115">
        <f>H124</f>
        <v>150</v>
      </c>
      <c r="G124" s="247"/>
      <c r="H124" s="115">
        <f t="shared" si="36"/>
        <v>150</v>
      </c>
      <c r="I124" s="115">
        <f>SUM(J124:L124)</f>
        <v>150</v>
      </c>
      <c r="J124" s="115"/>
      <c r="K124" s="115"/>
      <c r="L124" s="404">
        <v>150</v>
      </c>
      <c r="M124" s="115">
        <f t="shared" si="38"/>
        <v>0</v>
      </c>
      <c r="N124" s="115"/>
      <c r="O124" s="115"/>
      <c r="P124" s="115"/>
      <c r="Q124" s="247"/>
    </row>
    <row r="125" spans="1:17" s="136" customFormat="1" ht="33.75">
      <c r="A125" s="556"/>
      <c r="B125" s="77" t="s">
        <v>64</v>
      </c>
      <c r="C125" s="34"/>
      <c r="D125" s="252">
        <v>4758</v>
      </c>
      <c r="E125" s="115">
        <f t="shared" si="34"/>
        <v>850</v>
      </c>
      <c r="F125" s="115">
        <f>I125</f>
        <v>0</v>
      </c>
      <c r="G125" s="247">
        <f>M125</f>
        <v>850</v>
      </c>
      <c r="H125" s="115">
        <f t="shared" si="36"/>
        <v>850</v>
      </c>
      <c r="I125" s="115">
        <f>SUM(J125:L125)</f>
        <v>0</v>
      </c>
      <c r="J125" s="115"/>
      <c r="K125" s="115"/>
      <c r="L125" s="115"/>
      <c r="M125" s="115">
        <f t="shared" si="38"/>
        <v>850</v>
      </c>
      <c r="N125" s="115"/>
      <c r="O125" s="115"/>
      <c r="P125" s="115"/>
      <c r="Q125" s="404">
        <v>850</v>
      </c>
    </row>
    <row r="126" spans="1:17" s="136" customFormat="1" ht="33.75">
      <c r="A126" s="556"/>
      <c r="B126" s="77" t="s">
        <v>64</v>
      </c>
      <c r="C126" s="34"/>
      <c r="D126" s="252">
        <v>4759</v>
      </c>
      <c r="E126" s="115">
        <f t="shared" si="34"/>
        <v>150</v>
      </c>
      <c r="F126" s="115">
        <f>I126</f>
        <v>150</v>
      </c>
      <c r="G126" s="247">
        <f>M126</f>
        <v>0</v>
      </c>
      <c r="H126" s="115">
        <f t="shared" si="36"/>
        <v>150</v>
      </c>
      <c r="I126" s="115">
        <f>SUM(J126:L126)</f>
        <v>150</v>
      </c>
      <c r="J126" s="115"/>
      <c r="K126" s="115"/>
      <c r="L126" s="404">
        <v>150</v>
      </c>
      <c r="M126" s="115">
        <f t="shared" si="38"/>
        <v>0</v>
      </c>
      <c r="N126" s="115"/>
      <c r="O126" s="115"/>
      <c r="P126" s="115"/>
      <c r="Q126" s="247"/>
    </row>
    <row r="127" spans="1:17" s="136" customFormat="1" ht="33.75">
      <c r="A127" s="556"/>
      <c r="B127" s="77" t="s">
        <v>63</v>
      </c>
      <c r="C127" s="34"/>
      <c r="D127" s="252">
        <v>4378</v>
      </c>
      <c r="E127" s="115">
        <f t="shared" si="34"/>
        <v>1867</v>
      </c>
      <c r="F127" s="115">
        <f t="shared" si="35"/>
        <v>0</v>
      </c>
      <c r="G127" s="247">
        <f>M127</f>
        <v>1867</v>
      </c>
      <c r="H127" s="115">
        <f t="shared" si="36"/>
        <v>1867</v>
      </c>
      <c r="I127" s="115">
        <f t="shared" si="37"/>
        <v>0</v>
      </c>
      <c r="J127" s="115"/>
      <c r="K127" s="115"/>
      <c r="L127" s="115"/>
      <c r="M127" s="115">
        <f t="shared" si="38"/>
        <v>1867</v>
      </c>
      <c r="N127" s="115"/>
      <c r="O127" s="115"/>
      <c r="P127" s="115"/>
      <c r="Q127" s="404">
        <v>1867</v>
      </c>
    </row>
    <row r="128" spans="1:17" s="136" customFormat="1" ht="33.75">
      <c r="A128" s="556"/>
      <c r="B128" s="77" t="s">
        <v>63</v>
      </c>
      <c r="C128" s="34"/>
      <c r="D128" s="252">
        <v>4379</v>
      </c>
      <c r="E128" s="115">
        <f t="shared" si="34"/>
        <v>329</v>
      </c>
      <c r="F128" s="115">
        <f t="shared" si="35"/>
        <v>329</v>
      </c>
      <c r="G128" s="247"/>
      <c r="H128" s="115">
        <f t="shared" si="36"/>
        <v>329</v>
      </c>
      <c r="I128" s="115">
        <f t="shared" si="37"/>
        <v>329</v>
      </c>
      <c r="J128" s="115"/>
      <c r="K128" s="115"/>
      <c r="L128" s="404">
        <v>329</v>
      </c>
      <c r="M128" s="115">
        <f t="shared" si="38"/>
        <v>0</v>
      </c>
      <c r="N128" s="115"/>
      <c r="O128" s="115"/>
      <c r="P128" s="115"/>
      <c r="Q128" s="247"/>
    </row>
    <row r="129" spans="1:17" s="137" customFormat="1" ht="11.25">
      <c r="A129" s="558"/>
      <c r="B129" s="263">
        <v>2010</v>
      </c>
      <c r="C129" s="406"/>
      <c r="D129" s="406"/>
      <c r="E129" s="135">
        <f>F129+G129</f>
        <v>110487</v>
      </c>
      <c r="F129" s="135">
        <f>SUM(F111:F128)</f>
        <v>16573</v>
      </c>
      <c r="G129" s="135">
        <f>SUM(G111:G128)</f>
        <v>93914</v>
      </c>
      <c r="H129" s="135">
        <f>I129+M129</f>
        <v>110487</v>
      </c>
      <c r="I129" s="135">
        <f>SUM(J129:L129)</f>
        <v>16573</v>
      </c>
      <c r="J129" s="135">
        <f>SUM(J111:J128)</f>
        <v>0</v>
      </c>
      <c r="K129" s="135">
        <f>SUM(K111:K128)</f>
        <v>0</v>
      </c>
      <c r="L129" s="135">
        <f>SUM(L111:L128)</f>
        <v>16573</v>
      </c>
      <c r="M129" s="135">
        <f>N129+O129+P129+Q129</f>
        <v>93914</v>
      </c>
      <c r="N129" s="135">
        <f>SUM(N111:N128)</f>
        <v>0</v>
      </c>
      <c r="O129" s="135">
        <f>SUM(O111:O128)</f>
        <v>0</v>
      </c>
      <c r="P129" s="135">
        <f>SUM(P111:P128)</f>
        <v>0</v>
      </c>
      <c r="Q129" s="135">
        <f>SUM(Q111:Q128)</f>
        <v>93914</v>
      </c>
    </row>
    <row r="130" spans="1:17" s="136" customFormat="1" ht="11.25">
      <c r="A130" s="556"/>
      <c r="B130" s="408" t="s">
        <v>16</v>
      </c>
      <c r="C130" s="134"/>
      <c r="D130" s="134"/>
      <c r="E130" s="133">
        <v>196938</v>
      </c>
      <c r="F130" s="133"/>
      <c r="G130" s="131"/>
      <c r="H130" s="133"/>
      <c r="I130" s="133"/>
      <c r="J130" s="134"/>
      <c r="K130" s="134"/>
      <c r="L130" s="243"/>
      <c r="M130" s="133"/>
      <c r="N130" s="134"/>
      <c r="O130" s="134"/>
      <c r="P130" s="134"/>
      <c r="Q130" s="134"/>
    </row>
    <row r="131" spans="1:17" s="136" customFormat="1" ht="11.25">
      <c r="A131" s="556"/>
      <c r="B131" s="132"/>
      <c r="C131" s="134"/>
      <c r="D131" s="134"/>
      <c r="E131" s="133">
        <f>F131+G131</f>
        <v>0</v>
      </c>
      <c r="F131" s="133"/>
      <c r="G131" s="131"/>
      <c r="H131" s="133"/>
      <c r="I131" s="133"/>
      <c r="J131" s="134"/>
      <c r="K131" s="134"/>
      <c r="L131" s="243"/>
      <c r="M131" s="133"/>
      <c r="N131" s="134"/>
      <c r="O131" s="134"/>
      <c r="P131" s="134"/>
      <c r="Q131" s="134"/>
    </row>
    <row r="132" spans="1:17" s="136" customFormat="1" ht="11.25" customHeight="1">
      <c r="A132" s="556" t="s">
        <v>250</v>
      </c>
      <c r="B132" s="132" t="s">
        <v>521</v>
      </c>
      <c r="C132" s="610" t="s">
        <v>582</v>
      </c>
      <c r="D132" s="610"/>
      <c r="E132" s="610"/>
      <c r="F132" s="610"/>
      <c r="G132" s="610"/>
      <c r="H132" s="610"/>
      <c r="I132" s="610"/>
      <c r="J132" s="610"/>
      <c r="K132" s="610"/>
      <c r="L132" s="610"/>
      <c r="M132" s="610"/>
      <c r="N132" s="610"/>
      <c r="O132" s="610"/>
      <c r="P132" s="610"/>
      <c r="Q132" s="610"/>
    </row>
    <row r="133" spans="1:17" s="136" customFormat="1" ht="11.25" customHeight="1">
      <c r="A133" s="556"/>
      <c r="B133" s="132" t="s">
        <v>522</v>
      </c>
      <c r="C133" s="610"/>
      <c r="D133" s="610"/>
      <c r="E133" s="610"/>
      <c r="F133" s="610"/>
      <c r="G133" s="610"/>
      <c r="H133" s="610"/>
      <c r="I133" s="610"/>
      <c r="J133" s="610"/>
      <c r="K133" s="610"/>
      <c r="L133" s="610"/>
      <c r="M133" s="610"/>
      <c r="N133" s="610"/>
      <c r="O133" s="610"/>
      <c r="P133" s="610"/>
      <c r="Q133" s="610"/>
    </row>
    <row r="134" spans="1:17" s="136" customFormat="1" ht="11.25" customHeight="1">
      <c r="A134" s="556"/>
      <c r="B134" s="132" t="s">
        <v>523</v>
      </c>
      <c r="C134" s="610"/>
      <c r="D134" s="610"/>
      <c r="E134" s="610"/>
      <c r="F134" s="610"/>
      <c r="G134" s="610"/>
      <c r="H134" s="610"/>
      <c r="I134" s="610"/>
      <c r="J134" s="610"/>
      <c r="K134" s="610"/>
      <c r="L134" s="610"/>
      <c r="M134" s="610"/>
      <c r="N134" s="610"/>
      <c r="O134" s="610"/>
      <c r="P134" s="610"/>
      <c r="Q134" s="610"/>
    </row>
    <row r="135" spans="1:17" s="136" customFormat="1" ht="11.25" customHeight="1">
      <c r="A135" s="556"/>
      <c r="B135" s="132" t="s">
        <v>524</v>
      </c>
      <c r="C135" s="610"/>
      <c r="D135" s="610"/>
      <c r="E135" s="610"/>
      <c r="F135" s="610"/>
      <c r="G135" s="610"/>
      <c r="H135" s="610"/>
      <c r="I135" s="610"/>
      <c r="J135" s="610"/>
      <c r="K135" s="610"/>
      <c r="L135" s="610"/>
      <c r="M135" s="610"/>
      <c r="N135" s="610"/>
      <c r="O135" s="610"/>
      <c r="P135" s="610"/>
      <c r="Q135" s="610"/>
    </row>
    <row r="136" spans="1:17" s="136" customFormat="1" ht="12.75">
      <c r="A136" s="556"/>
      <c r="B136" s="263" t="s">
        <v>525</v>
      </c>
      <c r="C136" s="34"/>
      <c r="D136" s="138" t="s">
        <v>308</v>
      </c>
      <c r="E136" s="115">
        <f>E161+E162</f>
        <v>1514459.0399999996</v>
      </c>
      <c r="F136" s="115">
        <f aca="true" t="shared" si="39" ref="F136:Q136">F161+F162</f>
        <v>144126.89849999986</v>
      </c>
      <c r="G136" s="115">
        <f t="shared" si="39"/>
        <v>816719.0914999995</v>
      </c>
      <c r="H136" s="115">
        <f t="shared" si="39"/>
        <v>960845.9899999994</v>
      </c>
      <c r="I136" s="115">
        <f t="shared" si="39"/>
        <v>144126.89849999986</v>
      </c>
      <c r="J136" s="115">
        <f t="shared" si="39"/>
        <v>0</v>
      </c>
      <c r="K136" s="115">
        <f t="shared" si="39"/>
        <v>0</v>
      </c>
      <c r="L136" s="115">
        <f t="shared" si="39"/>
        <v>144126.89849999986</v>
      </c>
      <c r="M136" s="115">
        <f t="shared" si="39"/>
        <v>816719.0914999995</v>
      </c>
      <c r="N136" s="115">
        <f t="shared" si="39"/>
        <v>0</v>
      </c>
      <c r="O136" s="115">
        <f t="shared" si="39"/>
        <v>0</v>
      </c>
      <c r="P136" s="115">
        <f t="shared" si="39"/>
        <v>0</v>
      </c>
      <c r="Q136" s="115">
        <f t="shared" si="39"/>
        <v>816719.0914999995</v>
      </c>
    </row>
    <row r="137" spans="1:17" s="136" customFormat="1" ht="22.5">
      <c r="A137" s="556"/>
      <c r="B137" s="77" t="s">
        <v>338</v>
      </c>
      <c r="C137" s="34"/>
      <c r="D137" s="252">
        <v>4018</v>
      </c>
      <c r="E137" s="115">
        <f aca="true" t="shared" si="40" ref="E137:E158">F137+G137</f>
        <v>40513.00578034682</v>
      </c>
      <c r="F137" s="115">
        <f>I137</f>
        <v>0</v>
      </c>
      <c r="G137" s="247">
        <f>M137</f>
        <v>40513.00578034682</v>
      </c>
      <c r="H137" s="115"/>
      <c r="I137" s="115">
        <f>SUM(J137:L137)</f>
        <v>0</v>
      </c>
      <c r="J137" s="115"/>
      <c r="K137" s="115"/>
      <c r="L137" s="115"/>
      <c r="M137" s="115">
        <f>SUM(N137:Q137)</f>
        <v>40513.00578034682</v>
      </c>
      <c r="N137" s="115"/>
      <c r="O137" s="115"/>
      <c r="P137" s="115"/>
      <c r="Q137" s="76">
        <v>40513.00578034682</v>
      </c>
    </row>
    <row r="138" spans="1:17" s="136" customFormat="1" ht="22.5">
      <c r="A138" s="556"/>
      <c r="B138" s="77" t="s">
        <v>338</v>
      </c>
      <c r="C138" s="34"/>
      <c r="D138" s="252">
        <v>4019</v>
      </c>
      <c r="E138" s="115">
        <f t="shared" si="40"/>
        <v>7149.353961237674</v>
      </c>
      <c r="F138" s="115">
        <f aca="true" t="shared" si="41" ref="F138:F158">I138</f>
        <v>7149.353961237674</v>
      </c>
      <c r="G138" s="247">
        <f aca="true" t="shared" si="42" ref="G138:G158">M138</f>
        <v>0</v>
      </c>
      <c r="H138" s="115">
        <f>I138+M138</f>
        <v>7149.353961237674</v>
      </c>
      <c r="I138" s="115">
        <f aca="true" t="shared" si="43" ref="I138:I158">SUM(J138:L138)</f>
        <v>7149.353961237674</v>
      </c>
      <c r="J138" s="115"/>
      <c r="K138" s="115"/>
      <c r="L138" s="76">
        <v>7149.353961237674</v>
      </c>
      <c r="M138" s="115">
        <f aca="true" t="shared" si="44" ref="M138:M158">SUM(N138:Q138)</f>
        <v>0</v>
      </c>
      <c r="N138" s="115"/>
      <c r="O138" s="115"/>
      <c r="P138" s="115"/>
      <c r="Q138" s="247"/>
    </row>
    <row r="139" spans="1:17" s="136" customFormat="1" ht="22.5">
      <c r="A139" s="556"/>
      <c r="B139" s="77" t="s">
        <v>59</v>
      </c>
      <c r="C139" s="34"/>
      <c r="D139" s="252">
        <v>4118</v>
      </c>
      <c r="E139" s="115">
        <f>F139+G139</f>
        <v>97448.67919075149</v>
      </c>
      <c r="F139" s="115">
        <f>I139</f>
        <v>0</v>
      </c>
      <c r="G139" s="247">
        <f>M139</f>
        <v>97448.67919075149</v>
      </c>
      <c r="H139" s="115"/>
      <c r="I139" s="115">
        <f>SUM(J139:L139)</f>
        <v>0</v>
      </c>
      <c r="J139" s="115"/>
      <c r="K139" s="115"/>
      <c r="L139" s="115"/>
      <c r="M139" s="115">
        <f>SUM(N139:Q139)</f>
        <v>97448.67919075149</v>
      </c>
      <c r="N139" s="115"/>
      <c r="O139" s="115"/>
      <c r="P139" s="115"/>
      <c r="Q139" s="76">
        <v>97448.67919075149</v>
      </c>
    </row>
    <row r="140" spans="1:17" s="136" customFormat="1" ht="22.5">
      <c r="A140" s="556"/>
      <c r="B140" s="77" t="s">
        <v>59</v>
      </c>
      <c r="C140" s="34"/>
      <c r="D140" s="252">
        <v>4119</v>
      </c>
      <c r="E140" s="115">
        <f>F140+G140</f>
        <v>17196.82573954438</v>
      </c>
      <c r="F140" s="115">
        <f>I140</f>
        <v>17196.82573954438</v>
      </c>
      <c r="G140" s="247">
        <f>M140</f>
        <v>0</v>
      </c>
      <c r="H140" s="115">
        <f>I140+M140</f>
        <v>17196.82573954438</v>
      </c>
      <c r="I140" s="115">
        <f>SUM(J140:L140)</f>
        <v>17196.82573954438</v>
      </c>
      <c r="J140" s="115"/>
      <c r="K140" s="115"/>
      <c r="L140" s="76">
        <v>17196.82573954438</v>
      </c>
      <c r="M140" s="115">
        <f>SUM(N140:Q140)</f>
        <v>0</v>
      </c>
      <c r="N140" s="115"/>
      <c r="O140" s="115"/>
      <c r="P140" s="115"/>
      <c r="Q140" s="247"/>
    </row>
    <row r="141" spans="1:17" s="136" customFormat="1" ht="22.5">
      <c r="A141" s="556"/>
      <c r="B141" s="77" t="s">
        <v>21</v>
      </c>
      <c r="C141" s="34"/>
      <c r="D141" s="252">
        <v>4178</v>
      </c>
      <c r="E141" s="115">
        <f t="shared" si="40"/>
        <v>601018.7861271669</v>
      </c>
      <c r="F141" s="115">
        <f t="shared" si="41"/>
        <v>0</v>
      </c>
      <c r="G141" s="247">
        <f t="shared" si="42"/>
        <v>601018.7861271669</v>
      </c>
      <c r="H141" s="115">
        <f aca="true" t="shared" si="45" ref="H141:H158">I141+M141</f>
        <v>601018.7861271669</v>
      </c>
      <c r="I141" s="115">
        <f t="shared" si="43"/>
        <v>0</v>
      </c>
      <c r="J141" s="115"/>
      <c r="K141" s="115"/>
      <c r="L141" s="115"/>
      <c r="M141" s="115">
        <f t="shared" si="44"/>
        <v>601018.7861271669</v>
      </c>
      <c r="N141" s="115"/>
      <c r="O141" s="115"/>
      <c r="P141" s="115"/>
      <c r="Q141" s="76">
        <v>601018.7861271669</v>
      </c>
    </row>
    <row r="142" spans="1:17" s="136" customFormat="1" ht="22.5">
      <c r="A142" s="556"/>
      <c r="B142" s="77" t="s">
        <v>21</v>
      </c>
      <c r="C142" s="34"/>
      <c r="D142" s="252">
        <v>4179</v>
      </c>
      <c r="E142" s="115">
        <f t="shared" si="40"/>
        <v>106062.13872832358</v>
      </c>
      <c r="F142" s="115">
        <f t="shared" si="41"/>
        <v>106062.13872832358</v>
      </c>
      <c r="G142" s="247">
        <f t="shared" si="42"/>
        <v>0</v>
      </c>
      <c r="H142" s="115">
        <f t="shared" si="45"/>
        <v>106062.13872832358</v>
      </c>
      <c r="I142" s="115">
        <f t="shared" si="43"/>
        <v>106062.13872832358</v>
      </c>
      <c r="J142" s="115"/>
      <c r="K142" s="115"/>
      <c r="L142" s="76">
        <v>106062.13872832358</v>
      </c>
      <c r="M142" s="115">
        <f t="shared" si="44"/>
        <v>0</v>
      </c>
      <c r="N142" s="115"/>
      <c r="O142" s="115"/>
      <c r="P142" s="115"/>
      <c r="Q142" s="247"/>
    </row>
    <row r="143" spans="1:17" s="136" customFormat="1" ht="12.75">
      <c r="A143" s="556"/>
      <c r="B143" s="77" t="s">
        <v>61</v>
      </c>
      <c r="C143" s="34"/>
      <c r="D143" s="409">
        <v>4128</v>
      </c>
      <c r="E143" s="115">
        <f>F143+G143</f>
        <v>15717.5289017341</v>
      </c>
      <c r="F143" s="115">
        <f>I143</f>
        <v>0</v>
      </c>
      <c r="G143" s="247">
        <f>M143</f>
        <v>15717.5289017341</v>
      </c>
      <c r="H143" s="115">
        <f>I143+M143</f>
        <v>15717.5289017341</v>
      </c>
      <c r="I143" s="115">
        <f>SUM(J143:L143)</f>
        <v>0</v>
      </c>
      <c r="J143" s="115"/>
      <c r="K143" s="115"/>
      <c r="L143" s="115"/>
      <c r="M143" s="115">
        <f>SUM(N143:Q143)</f>
        <v>15717.5289017341</v>
      </c>
      <c r="N143" s="115"/>
      <c r="O143" s="115"/>
      <c r="P143" s="115"/>
      <c r="Q143" s="76">
        <v>15717.5289017341</v>
      </c>
    </row>
    <row r="144" spans="1:17" s="136" customFormat="1" ht="12.75">
      <c r="A144" s="556"/>
      <c r="B144" s="77" t="s">
        <v>61</v>
      </c>
      <c r="C144" s="34"/>
      <c r="D144" s="252">
        <v>4129</v>
      </c>
      <c r="E144" s="115">
        <f>F144+G144</f>
        <v>2773.6815708942545</v>
      </c>
      <c r="F144" s="115">
        <f>I144</f>
        <v>2773.6815708942545</v>
      </c>
      <c r="G144" s="247">
        <f>M144</f>
        <v>0</v>
      </c>
      <c r="H144" s="115">
        <f>I144+M144</f>
        <v>2773.6815708942545</v>
      </c>
      <c r="I144" s="115">
        <f>SUM(J144:L144)</f>
        <v>2773.6815708942545</v>
      </c>
      <c r="J144" s="115"/>
      <c r="K144" s="115"/>
      <c r="L144" s="76">
        <v>2773.6815708942545</v>
      </c>
      <c r="M144" s="115">
        <f>SUM(N144:Q144)</f>
        <v>0</v>
      </c>
      <c r="N144" s="115"/>
      <c r="O144" s="115"/>
      <c r="P144" s="115"/>
      <c r="Q144" s="247"/>
    </row>
    <row r="145" spans="1:17" s="136" customFormat="1" ht="22.5">
      <c r="A145" s="556"/>
      <c r="B145" s="77" t="s">
        <v>658</v>
      </c>
      <c r="C145" s="34"/>
      <c r="D145" s="252">
        <v>4218</v>
      </c>
      <c r="E145" s="115">
        <f t="shared" si="40"/>
        <v>10179.5507</v>
      </c>
      <c r="F145" s="115">
        <f t="shared" si="41"/>
        <v>0</v>
      </c>
      <c r="G145" s="247">
        <f t="shared" si="42"/>
        <v>10179.5507</v>
      </c>
      <c r="H145" s="115">
        <f t="shared" si="45"/>
        <v>10179.5507</v>
      </c>
      <c r="I145" s="115">
        <f t="shared" si="43"/>
        <v>0</v>
      </c>
      <c r="J145" s="115"/>
      <c r="K145" s="115"/>
      <c r="L145" s="115"/>
      <c r="M145" s="115">
        <f t="shared" si="44"/>
        <v>10179.5507</v>
      </c>
      <c r="N145" s="115"/>
      <c r="O145" s="115"/>
      <c r="P145" s="115"/>
      <c r="Q145" s="76">
        <v>10179.5507</v>
      </c>
    </row>
    <row r="146" spans="1:17" s="136" customFormat="1" ht="22.5">
      <c r="A146" s="556"/>
      <c r="B146" s="77" t="s">
        <v>658</v>
      </c>
      <c r="C146" s="34"/>
      <c r="D146" s="252">
        <v>4219</v>
      </c>
      <c r="E146" s="115">
        <f t="shared" si="40"/>
        <v>1796.3912999999998</v>
      </c>
      <c r="F146" s="115">
        <f t="shared" si="41"/>
        <v>1796.3912999999998</v>
      </c>
      <c r="G146" s="247">
        <f t="shared" si="42"/>
        <v>0</v>
      </c>
      <c r="H146" s="115">
        <f t="shared" si="45"/>
        <v>1796.3912999999998</v>
      </c>
      <c r="I146" s="115">
        <f t="shared" si="43"/>
        <v>1796.3912999999998</v>
      </c>
      <c r="J146" s="115"/>
      <c r="K146" s="115"/>
      <c r="L146" s="76">
        <v>1796.3912999999998</v>
      </c>
      <c r="M146" s="115">
        <f t="shared" si="44"/>
        <v>0</v>
      </c>
      <c r="N146" s="115"/>
      <c r="O146" s="115"/>
      <c r="P146" s="115"/>
      <c r="Q146" s="247"/>
    </row>
    <row r="147" spans="1:17" s="136" customFormat="1" ht="33.75">
      <c r="A147" s="556"/>
      <c r="B147" s="410" t="s">
        <v>62</v>
      </c>
      <c r="C147" s="34"/>
      <c r="D147" s="252">
        <v>4248</v>
      </c>
      <c r="E147" s="115">
        <f>F147+G147</f>
        <v>18493.1525</v>
      </c>
      <c r="F147" s="115">
        <f>I147</f>
        <v>0</v>
      </c>
      <c r="G147" s="247">
        <f>M147</f>
        <v>18493.1525</v>
      </c>
      <c r="H147" s="115">
        <f>I147+M147</f>
        <v>18493.1525</v>
      </c>
      <c r="I147" s="115">
        <f>SUM(J147:L147)</f>
        <v>0</v>
      </c>
      <c r="J147" s="115"/>
      <c r="K147" s="115"/>
      <c r="L147" s="115"/>
      <c r="M147" s="115">
        <f>SUM(N147:Q147)</f>
        <v>18493.1525</v>
      </c>
      <c r="N147" s="115"/>
      <c r="O147" s="115"/>
      <c r="P147" s="115"/>
      <c r="Q147" s="76">
        <v>18493.1525</v>
      </c>
    </row>
    <row r="148" spans="1:17" s="136" customFormat="1" ht="33.75">
      <c r="A148" s="556"/>
      <c r="B148" s="410" t="s">
        <v>62</v>
      </c>
      <c r="C148" s="34"/>
      <c r="D148" s="252">
        <v>4249</v>
      </c>
      <c r="E148" s="115">
        <f>F148+G148</f>
        <v>3263.4975</v>
      </c>
      <c r="F148" s="115">
        <f>I148</f>
        <v>3263.4975</v>
      </c>
      <c r="G148" s="247">
        <f>M148</f>
        <v>0</v>
      </c>
      <c r="H148" s="115">
        <f>I148+M148</f>
        <v>3263.4975</v>
      </c>
      <c r="I148" s="115">
        <f>SUM(J148:L148)</f>
        <v>3263.4975</v>
      </c>
      <c r="J148" s="115"/>
      <c r="K148" s="115"/>
      <c r="L148" s="76">
        <v>3263.4975</v>
      </c>
      <c r="M148" s="115">
        <f>SUM(N148:Q148)</f>
        <v>0</v>
      </c>
      <c r="N148" s="115"/>
      <c r="O148" s="115"/>
      <c r="P148" s="115"/>
      <c r="Q148" s="247"/>
    </row>
    <row r="149" spans="1:17" s="136" customFormat="1" ht="12.75">
      <c r="A149" s="556"/>
      <c r="B149" s="77" t="s">
        <v>252</v>
      </c>
      <c r="C149" s="34"/>
      <c r="D149" s="252">
        <v>4268</v>
      </c>
      <c r="E149" s="115">
        <f t="shared" si="40"/>
        <v>0</v>
      </c>
      <c r="F149" s="115">
        <f t="shared" si="41"/>
        <v>0</v>
      </c>
      <c r="G149" s="247">
        <f t="shared" si="42"/>
        <v>0</v>
      </c>
      <c r="H149" s="115">
        <f t="shared" si="45"/>
        <v>0</v>
      </c>
      <c r="I149" s="115">
        <f t="shared" si="43"/>
        <v>0</v>
      </c>
      <c r="J149" s="115"/>
      <c r="K149" s="115"/>
      <c r="L149" s="115"/>
      <c r="M149" s="115">
        <f t="shared" si="44"/>
        <v>0</v>
      </c>
      <c r="N149" s="115"/>
      <c r="O149" s="115"/>
      <c r="P149" s="115"/>
      <c r="Q149" s="247"/>
    </row>
    <row r="150" spans="1:17" s="136" customFormat="1" ht="12.75">
      <c r="A150" s="556"/>
      <c r="B150" s="77" t="s">
        <v>252</v>
      </c>
      <c r="C150" s="34"/>
      <c r="D150" s="252">
        <v>4269</v>
      </c>
      <c r="E150" s="115">
        <f t="shared" si="40"/>
        <v>0</v>
      </c>
      <c r="F150" s="115">
        <f t="shared" si="41"/>
        <v>0</v>
      </c>
      <c r="G150" s="247">
        <f t="shared" si="42"/>
        <v>0</v>
      </c>
      <c r="H150" s="115">
        <f t="shared" si="45"/>
        <v>0</v>
      </c>
      <c r="I150" s="115">
        <f t="shared" si="43"/>
        <v>0</v>
      </c>
      <c r="J150" s="115"/>
      <c r="K150" s="115"/>
      <c r="L150" s="115"/>
      <c r="M150" s="115">
        <f t="shared" si="44"/>
        <v>0</v>
      </c>
      <c r="N150" s="115"/>
      <c r="O150" s="115"/>
      <c r="P150" s="115"/>
      <c r="Q150" s="247"/>
    </row>
    <row r="151" spans="1:17" s="136" customFormat="1" ht="33.75">
      <c r="A151" s="556"/>
      <c r="B151" s="77" t="s">
        <v>63</v>
      </c>
      <c r="C151" s="34"/>
      <c r="D151" s="252">
        <v>4378</v>
      </c>
      <c r="E151" s="115">
        <f t="shared" si="40"/>
        <v>0</v>
      </c>
      <c r="F151" s="115">
        <f t="shared" si="41"/>
        <v>0</v>
      </c>
      <c r="G151" s="247">
        <f t="shared" si="42"/>
        <v>0</v>
      </c>
      <c r="H151" s="115">
        <f t="shared" si="45"/>
        <v>0</v>
      </c>
      <c r="I151" s="115">
        <f t="shared" si="43"/>
        <v>0</v>
      </c>
      <c r="J151" s="115"/>
      <c r="K151" s="115"/>
      <c r="L151" s="115"/>
      <c r="M151" s="115">
        <f t="shared" si="44"/>
        <v>0</v>
      </c>
      <c r="N151" s="115"/>
      <c r="O151" s="115"/>
      <c r="P151" s="115"/>
      <c r="Q151" s="247"/>
    </row>
    <row r="152" spans="1:17" s="136" customFormat="1" ht="33.75">
      <c r="A152" s="556"/>
      <c r="B152" s="77" t="s">
        <v>63</v>
      </c>
      <c r="C152" s="34"/>
      <c r="D152" s="252">
        <v>4379</v>
      </c>
      <c r="E152" s="115">
        <f t="shared" si="40"/>
        <v>0</v>
      </c>
      <c r="F152" s="115">
        <f t="shared" si="41"/>
        <v>0</v>
      </c>
      <c r="G152" s="247">
        <f t="shared" si="42"/>
        <v>0</v>
      </c>
      <c r="H152" s="115">
        <f t="shared" si="45"/>
        <v>0</v>
      </c>
      <c r="I152" s="115">
        <f t="shared" si="43"/>
        <v>0</v>
      </c>
      <c r="J152" s="115"/>
      <c r="K152" s="115"/>
      <c r="L152" s="115"/>
      <c r="M152" s="115">
        <f t="shared" si="44"/>
        <v>0</v>
      </c>
      <c r="N152" s="115"/>
      <c r="O152" s="115"/>
      <c r="P152" s="115"/>
      <c r="Q152" s="247"/>
    </row>
    <row r="153" spans="1:17" s="136" customFormat="1" ht="12.75">
      <c r="A153" s="556"/>
      <c r="B153" s="77" t="s">
        <v>641</v>
      </c>
      <c r="C153" s="34"/>
      <c r="D153" s="252">
        <v>4308</v>
      </c>
      <c r="E153" s="115">
        <f t="shared" si="40"/>
        <v>7181.6075</v>
      </c>
      <c r="F153" s="115">
        <f t="shared" si="41"/>
        <v>0</v>
      </c>
      <c r="G153" s="247">
        <f t="shared" si="42"/>
        <v>7181.6075</v>
      </c>
      <c r="H153" s="115">
        <f t="shared" si="45"/>
        <v>7181.6075</v>
      </c>
      <c r="I153" s="115">
        <f t="shared" si="43"/>
        <v>0</v>
      </c>
      <c r="J153" s="115"/>
      <c r="K153" s="115"/>
      <c r="L153" s="115"/>
      <c r="M153" s="115">
        <f t="shared" si="44"/>
        <v>7181.6075</v>
      </c>
      <c r="N153" s="115"/>
      <c r="O153" s="115"/>
      <c r="P153" s="115"/>
      <c r="Q153" s="76">
        <v>7181.6075</v>
      </c>
    </row>
    <row r="154" spans="1:17" s="136" customFormat="1" ht="12.75">
      <c r="A154" s="556"/>
      <c r="B154" s="77" t="s">
        <v>641</v>
      </c>
      <c r="C154" s="34"/>
      <c r="D154" s="252">
        <v>4309</v>
      </c>
      <c r="E154" s="115">
        <f t="shared" si="40"/>
        <v>1267.3425</v>
      </c>
      <c r="F154" s="115">
        <f t="shared" si="41"/>
        <v>1267.3425</v>
      </c>
      <c r="G154" s="247">
        <f t="shared" si="42"/>
        <v>0</v>
      </c>
      <c r="H154" s="115">
        <f t="shared" si="45"/>
        <v>1267.3425</v>
      </c>
      <c r="I154" s="115">
        <f t="shared" si="43"/>
        <v>1267.3425</v>
      </c>
      <c r="J154" s="115"/>
      <c r="K154" s="115"/>
      <c r="L154" s="76">
        <v>1267.3425</v>
      </c>
      <c r="M154" s="115">
        <f t="shared" si="44"/>
        <v>0</v>
      </c>
      <c r="N154" s="115"/>
      <c r="O154" s="115"/>
      <c r="P154" s="115"/>
      <c r="Q154" s="247"/>
    </row>
    <row r="155" spans="1:17" s="136" customFormat="1" ht="45">
      <c r="A155" s="556"/>
      <c r="B155" s="559" t="s">
        <v>24</v>
      </c>
      <c r="C155" s="34"/>
      <c r="D155" s="252">
        <v>4748</v>
      </c>
      <c r="E155" s="115">
        <f>F155+G155</f>
        <v>4067.8288500000003</v>
      </c>
      <c r="F155" s="115">
        <f>I155</f>
        <v>0</v>
      </c>
      <c r="G155" s="247">
        <f>M155</f>
        <v>4067.8288500000003</v>
      </c>
      <c r="H155" s="115">
        <f>I155+M155</f>
        <v>4067.8288500000003</v>
      </c>
      <c r="I155" s="115">
        <f>SUM(J155:L155)</f>
        <v>0</v>
      </c>
      <c r="J155" s="115"/>
      <c r="K155" s="115"/>
      <c r="L155" s="115"/>
      <c r="M155" s="115">
        <f>SUM(N155:Q155)</f>
        <v>4067.8288500000003</v>
      </c>
      <c r="N155" s="115"/>
      <c r="O155" s="115"/>
      <c r="P155" s="115"/>
      <c r="Q155" s="76">
        <v>4067.8288500000003</v>
      </c>
    </row>
    <row r="156" spans="1:17" s="136" customFormat="1" ht="45">
      <c r="A156" s="556"/>
      <c r="B156" s="559" t="s">
        <v>24</v>
      </c>
      <c r="C156" s="34"/>
      <c r="D156" s="252">
        <v>4749</v>
      </c>
      <c r="E156" s="115">
        <f>F156+G156</f>
        <v>717.85215</v>
      </c>
      <c r="F156" s="115">
        <f>I156</f>
        <v>717.85215</v>
      </c>
      <c r="G156" s="247">
        <f>M156</f>
        <v>0</v>
      </c>
      <c r="H156" s="115">
        <f>I156+M156</f>
        <v>717.85215</v>
      </c>
      <c r="I156" s="115">
        <f>SUM(J156:L156)</f>
        <v>717.85215</v>
      </c>
      <c r="J156" s="115"/>
      <c r="K156" s="115"/>
      <c r="L156" s="76">
        <v>717.85215</v>
      </c>
      <c r="M156" s="115">
        <f>SUM(N156:Q156)</f>
        <v>0</v>
      </c>
      <c r="N156" s="115"/>
      <c r="O156" s="115"/>
      <c r="P156" s="115"/>
      <c r="Q156" s="247"/>
    </row>
    <row r="157" spans="1:17" s="136" customFormat="1" ht="33.75">
      <c r="A157" s="556"/>
      <c r="B157" s="77" t="s">
        <v>64</v>
      </c>
      <c r="C157" s="34"/>
      <c r="D157" s="252">
        <v>4758</v>
      </c>
      <c r="E157" s="115">
        <f t="shared" si="40"/>
        <v>18698.95195</v>
      </c>
      <c r="F157" s="115">
        <f t="shared" si="41"/>
        <v>0</v>
      </c>
      <c r="G157" s="247">
        <f t="shared" si="42"/>
        <v>18698.95195</v>
      </c>
      <c r="H157" s="115">
        <f t="shared" si="45"/>
        <v>18698.95195</v>
      </c>
      <c r="I157" s="115">
        <f t="shared" si="43"/>
        <v>0</v>
      </c>
      <c r="J157" s="115"/>
      <c r="K157" s="115"/>
      <c r="L157" s="115"/>
      <c r="M157" s="115">
        <f t="shared" si="44"/>
        <v>18698.95195</v>
      </c>
      <c r="N157" s="115"/>
      <c r="O157" s="115"/>
      <c r="P157" s="115"/>
      <c r="Q157" s="76">
        <v>18698.95195</v>
      </c>
    </row>
    <row r="158" spans="1:17" s="136" customFormat="1" ht="33.75">
      <c r="A158" s="556"/>
      <c r="B158" s="77" t="s">
        <v>64</v>
      </c>
      <c r="C158" s="34"/>
      <c r="D158" s="252">
        <v>4759</v>
      </c>
      <c r="E158" s="115">
        <f t="shared" si="40"/>
        <v>3299.8150499999997</v>
      </c>
      <c r="F158" s="115">
        <f t="shared" si="41"/>
        <v>3299.8150499999997</v>
      </c>
      <c r="G158" s="247">
        <f t="shared" si="42"/>
        <v>0</v>
      </c>
      <c r="H158" s="115">
        <f t="shared" si="45"/>
        <v>3299.8150499999997</v>
      </c>
      <c r="I158" s="115">
        <f t="shared" si="43"/>
        <v>3299.8150499999997</v>
      </c>
      <c r="J158" s="115"/>
      <c r="K158" s="115"/>
      <c r="L158" s="76">
        <v>3299.8150499999997</v>
      </c>
      <c r="M158" s="115">
        <f t="shared" si="44"/>
        <v>0</v>
      </c>
      <c r="N158" s="115"/>
      <c r="O158" s="115"/>
      <c r="P158" s="115"/>
      <c r="Q158" s="247"/>
    </row>
    <row r="159" spans="1:17" s="136" customFormat="1" ht="33.75">
      <c r="A159" s="556"/>
      <c r="B159" s="559" t="s">
        <v>212</v>
      </c>
      <c r="C159" s="34"/>
      <c r="D159" s="252">
        <v>6068</v>
      </c>
      <c r="E159" s="115">
        <f>F159+G159</f>
        <v>3400</v>
      </c>
      <c r="F159" s="115">
        <f>I159</f>
        <v>0</v>
      </c>
      <c r="G159" s="247">
        <f>M159</f>
        <v>3400</v>
      </c>
      <c r="H159" s="115">
        <f>I159+M159</f>
        <v>3400</v>
      </c>
      <c r="I159" s="115">
        <f>SUM(J159:L159)</f>
        <v>0</v>
      </c>
      <c r="J159" s="115"/>
      <c r="K159" s="115"/>
      <c r="L159" s="115"/>
      <c r="M159" s="115">
        <f>SUM(N159:Q159)</f>
        <v>3400</v>
      </c>
      <c r="N159" s="115"/>
      <c r="O159" s="115"/>
      <c r="P159" s="115"/>
      <c r="Q159" s="76">
        <v>3400</v>
      </c>
    </row>
    <row r="160" spans="1:17" s="136" customFormat="1" ht="33.75">
      <c r="A160" s="556"/>
      <c r="B160" s="559" t="s">
        <v>212</v>
      </c>
      <c r="C160" s="34"/>
      <c r="D160" s="252">
        <v>6069</v>
      </c>
      <c r="E160" s="115">
        <f>F160+G160</f>
        <v>600</v>
      </c>
      <c r="F160" s="115">
        <f>I160</f>
        <v>600</v>
      </c>
      <c r="G160" s="247">
        <f>M160</f>
        <v>0</v>
      </c>
      <c r="H160" s="115">
        <f>I160+M160</f>
        <v>600</v>
      </c>
      <c r="I160" s="115">
        <f>SUM(J160:L160)</f>
        <v>600</v>
      </c>
      <c r="J160" s="115"/>
      <c r="K160" s="115"/>
      <c r="L160" s="76">
        <v>600</v>
      </c>
      <c r="M160" s="115">
        <f>SUM(N160:Q160)</f>
        <v>0</v>
      </c>
      <c r="N160" s="115"/>
      <c r="O160" s="115"/>
      <c r="P160" s="115"/>
      <c r="Q160" s="247"/>
    </row>
    <row r="161" spans="1:17" s="137" customFormat="1" ht="17.25" customHeight="1">
      <c r="A161" s="558"/>
      <c r="B161" s="263">
        <v>2010</v>
      </c>
      <c r="C161" s="406"/>
      <c r="D161" s="406"/>
      <c r="E161" s="135">
        <f>F161+G161</f>
        <v>960845.9899999994</v>
      </c>
      <c r="F161" s="135">
        <f>SUM(F137:F160)</f>
        <v>144126.89849999986</v>
      </c>
      <c r="G161" s="135">
        <f>SUM(G137:G160)</f>
        <v>816719.0914999995</v>
      </c>
      <c r="H161" s="135">
        <f>I161+M161</f>
        <v>960845.9899999994</v>
      </c>
      <c r="I161" s="135">
        <f>SUM(I137:I160)</f>
        <v>144126.89849999986</v>
      </c>
      <c r="J161" s="135">
        <f>SUM(J137:J160)</f>
        <v>0</v>
      </c>
      <c r="K161" s="135">
        <f>SUM(K137:K160)</f>
        <v>0</v>
      </c>
      <c r="L161" s="135">
        <f>SUM(L137:L160)</f>
        <v>144126.89849999986</v>
      </c>
      <c r="M161" s="135">
        <f>N161+O161+P161+Q161</f>
        <v>816719.0914999995</v>
      </c>
      <c r="N161" s="411">
        <f>SUM(N137:N160)</f>
        <v>0</v>
      </c>
      <c r="O161" s="411">
        <f>SUM(O137:O160)</f>
        <v>0</v>
      </c>
      <c r="P161" s="411">
        <f>SUM(P137:P160)</f>
        <v>0</v>
      </c>
      <c r="Q161" s="411">
        <f>SUM(Q137:Q160)</f>
        <v>816719.0914999995</v>
      </c>
    </row>
    <row r="162" spans="1:17" s="136" customFormat="1" ht="11.25">
      <c r="A162" s="556"/>
      <c r="B162" s="132">
        <v>2009</v>
      </c>
      <c r="C162" s="134"/>
      <c r="D162" s="134"/>
      <c r="E162" s="133">
        <v>553613.05</v>
      </c>
      <c r="F162" s="133"/>
      <c r="G162" s="133"/>
      <c r="H162" s="133"/>
      <c r="I162" s="133"/>
      <c r="J162" s="134"/>
      <c r="K162" s="134"/>
      <c r="L162" s="243"/>
      <c r="M162" s="133"/>
      <c r="N162" s="134"/>
      <c r="O162" s="134"/>
      <c r="P162" s="134"/>
      <c r="Q162" s="134"/>
    </row>
    <row r="163" spans="1:17" s="136" customFormat="1" ht="11.25" customHeight="1" hidden="1">
      <c r="A163" s="556" t="s">
        <v>292</v>
      </c>
      <c r="B163" s="132" t="s">
        <v>521</v>
      </c>
      <c r="C163" s="610" t="s">
        <v>291</v>
      </c>
      <c r="D163" s="610"/>
      <c r="E163" s="610"/>
      <c r="F163" s="610"/>
      <c r="G163" s="610"/>
      <c r="H163" s="610"/>
      <c r="I163" s="610"/>
      <c r="J163" s="610"/>
      <c r="K163" s="610"/>
      <c r="L163" s="610"/>
      <c r="M163" s="610"/>
      <c r="N163" s="610"/>
      <c r="O163" s="610"/>
      <c r="P163" s="610"/>
      <c r="Q163" s="610"/>
    </row>
    <row r="164" spans="1:17" s="136" customFormat="1" ht="11.25" customHeight="1">
      <c r="A164" s="556" t="s">
        <v>292</v>
      </c>
      <c r="B164" s="132" t="s">
        <v>521</v>
      </c>
      <c r="C164" s="610" t="s">
        <v>294</v>
      </c>
      <c r="D164" s="610"/>
      <c r="E164" s="610"/>
      <c r="F164" s="610"/>
      <c r="G164" s="610"/>
      <c r="H164" s="610"/>
      <c r="I164" s="610"/>
      <c r="J164" s="610"/>
      <c r="K164" s="610"/>
      <c r="L164" s="610"/>
      <c r="M164" s="610"/>
      <c r="N164" s="610"/>
      <c r="O164" s="610"/>
      <c r="P164" s="610"/>
      <c r="Q164" s="610"/>
    </row>
    <row r="165" spans="1:17" s="136" customFormat="1" ht="11.25" customHeight="1">
      <c r="A165" s="556"/>
      <c r="B165" s="132" t="s">
        <v>522</v>
      </c>
      <c r="C165" s="610"/>
      <c r="D165" s="610"/>
      <c r="E165" s="610"/>
      <c r="F165" s="610"/>
      <c r="G165" s="610"/>
      <c r="H165" s="610"/>
      <c r="I165" s="610"/>
      <c r="J165" s="610"/>
      <c r="K165" s="610"/>
      <c r="L165" s="610"/>
      <c r="M165" s="610"/>
      <c r="N165" s="610"/>
      <c r="O165" s="610"/>
      <c r="P165" s="610"/>
      <c r="Q165" s="610"/>
    </row>
    <row r="166" spans="1:17" s="136" customFormat="1" ht="11.25" customHeight="1">
      <c r="A166" s="556"/>
      <c r="B166" s="132" t="s">
        <v>523</v>
      </c>
      <c r="C166" s="610"/>
      <c r="D166" s="610"/>
      <c r="E166" s="610"/>
      <c r="F166" s="610"/>
      <c r="G166" s="610"/>
      <c r="H166" s="610"/>
      <c r="I166" s="610"/>
      <c r="J166" s="610"/>
      <c r="K166" s="610"/>
      <c r="L166" s="610"/>
      <c r="M166" s="610"/>
      <c r="N166" s="610"/>
      <c r="O166" s="610"/>
      <c r="P166" s="610"/>
      <c r="Q166" s="610"/>
    </row>
    <row r="167" spans="1:17" s="136" customFormat="1" ht="11.25" customHeight="1">
      <c r="A167" s="556"/>
      <c r="B167" s="132" t="s">
        <v>524</v>
      </c>
      <c r="C167" s="610"/>
      <c r="D167" s="610"/>
      <c r="E167" s="610"/>
      <c r="F167" s="610"/>
      <c r="G167" s="610"/>
      <c r="H167" s="610"/>
      <c r="I167" s="610"/>
      <c r="J167" s="610"/>
      <c r="K167" s="610"/>
      <c r="L167" s="610"/>
      <c r="M167" s="610"/>
      <c r="N167" s="610"/>
      <c r="O167" s="610"/>
      <c r="P167" s="610"/>
      <c r="Q167" s="610"/>
    </row>
    <row r="168" spans="1:17" s="136" customFormat="1" ht="12.75">
      <c r="A168" s="556"/>
      <c r="B168" s="263" t="s">
        <v>525</v>
      </c>
      <c r="C168" s="34"/>
      <c r="D168" s="138" t="s">
        <v>684</v>
      </c>
      <c r="E168" s="115">
        <f>E189+E190+E188</f>
        <v>549648</v>
      </c>
      <c r="F168" s="115">
        <f aca="true" t="shared" si="46" ref="F168:Q168">F189+F190+F188</f>
        <v>46210</v>
      </c>
      <c r="G168" s="115">
        <f t="shared" si="46"/>
        <v>141768</v>
      </c>
      <c r="H168" s="115">
        <f t="shared" si="46"/>
        <v>187978</v>
      </c>
      <c r="I168" s="115">
        <f t="shared" si="46"/>
        <v>46210</v>
      </c>
      <c r="J168" s="115">
        <f t="shared" si="46"/>
        <v>0</v>
      </c>
      <c r="K168" s="115">
        <f t="shared" si="46"/>
        <v>0</v>
      </c>
      <c r="L168" s="115">
        <f t="shared" si="46"/>
        <v>46210</v>
      </c>
      <c r="M168" s="115">
        <f t="shared" si="46"/>
        <v>141768</v>
      </c>
      <c r="N168" s="115">
        <f t="shared" si="46"/>
        <v>0</v>
      </c>
      <c r="O168" s="115">
        <f t="shared" si="46"/>
        <v>0</v>
      </c>
      <c r="P168" s="115">
        <f t="shared" si="46"/>
        <v>0</v>
      </c>
      <c r="Q168" s="115">
        <f t="shared" si="46"/>
        <v>141768</v>
      </c>
    </row>
    <row r="169" spans="1:17" s="136" customFormat="1" ht="22.5">
      <c r="A169" s="556"/>
      <c r="B169" s="77" t="s">
        <v>59</v>
      </c>
      <c r="C169" s="34"/>
      <c r="D169" s="252">
        <v>4118</v>
      </c>
      <c r="E169" s="115">
        <f aca="true" t="shared" si="47" ref="E169:E187">F169+G169</f>
        <v>11472</v>
      </c>
      <c r="F169" s="115"/>
      <c r="G169" s="247">
        <f>Q169</f>
        <v>11472</v>
      </c>
      <c r="H169" s="115">
        <f aca="true" t="shared" si="48" ref="H169:H187">I169+M169</f>
        <v>11472</v>
      </c>
      <c r="I169" s="115">
        <f aca="true" t="shared" si="49" ref="I169:I187">SUM(J169:L169)</f>
        <v>0</v>
      </c>
      <c r="J169" s="115"/>
      <c r="K169" s="115"/>
      <c r="L169" s="115"/>
      <c r="M169" s="115">
        <f aca="true" t="shared" si="50" ref="M169:M187">SUM(N169:Q169)</f>
        <v>11472</v>
      </c>
      <c r="N169" s="115"/>
      <c r="O169" s="115"/>
      <c r="P169" s="115"/>
      <c r="Q169" s="404">
        <v>11472</v>
      </c>
    </row>
    <row r="170" spans="1:17" s="136" customFormat="1" ht="22.5">
      <c r="A170" s="556"/>
      <c r="B170" s="77" t="s">
        <v>59</v>
      </c>
      <c r="C170" s="34"/>
      <c r="D170" s="252">
        <v>4119</v>
      </c>
      <c r="E170" s="115">
        <f t="shared" si="47"/>
        <v>2025</v>
      </c>
      <c r="F170" s="115">
        <f>L170</f>
        <v>2025</v>
      </c>
      <c r="G170" s="247"/>
      <c r="H170" s="115">
        <f t="shared" si="48"/>
        <v>2025</v>
      </c>
      <c r="I170" s="115">
        <f t="shared" si="49"/>
        <v>2025</v>
      </c>
      <c r="J170" s="115"/>
      <c r="K170" s="115"/>
      <c r="L170" s="404">
        <v>2025</v>
      </c>
      <c r="M170" s="115">
        <f t="shared" si="50"/>
        <v>0</v>
      </c>
      <c r="N170" s="115"/>
      <c r="O170" s="115"/>
      <c r="P170" s="115"/>
      <c r="Q170" s="247"/>
    </row>
    <row r="171" spans="1:17" s="136" customFormat="1" ht="12.75">
      <c r="A171" s="556"/>
      <c r="B171" s="77" t="s">
        <v>61</v>
      </c>
      <c r="C171" s="34"/>
      <c r="D171" s="252">
        <v>4128</v>
      </c>
      <c r="E171" s="115">
        <f t="shared" si="47"/>
        <v>1832</v>
      </c>
      <c r="F171" s="115"/>
      <c r="G171" s="247">
        <f>Q171</f>
        <v>1832</v>
      </c>
      <c r="H171" s="115">
        <f t="shared" si="48"/>
        <v>1832</v>
      </c>
      <c r="I171" s="115">
        <f t="shared" si="49"/>
        <v>0</v>
      </c>
      <c r="J171" s="115"/>
      <c r="K171" s="115"/>
      <c r="L171" s="115"/>
      <c r="M171" s="115">
        <f t="shared" si="50"/>
        <v>1832</v>
      </c>
      <c r="N171" s="115"/>
      <c r="O171" s="115"/>
      <c r="P171" s="115"/>
      <c r="Q171" s="404">
        <v>1832</v>
      </c>
    </row>
    <row r="172" spans="1:17" s="136" customFormat="1" ht="12.75">
      <c r="A172" s="556"/>
      <c r="B172" s="77" t="s">
        <v>61</v>
      </c>
      <c r="C172" s="34"/>
      <c r="D172" s="252">
        <v>4129</v>
      </c>
      <c r="E172" s="115">
        <f t="shared" si="47"/>
        <v>323</v>
      </c>
      <c r="F172" s="115">
        <f>L172</f>
        <v>323</v>
      </c>
      <c r="G172" s="247"/>
      <c r="H172" s="115">
        <f t="shared" si="48"/>
        <v>323</v>
      </c>
      <c r="I172" s="115">
        <f t="shared" si="49"/>
        <v>323</v>
      </c>
      <c r="J172" s="115"/>
      <c r="K172" s="115"/>
      <c r="L172" s="404">
        <v>323</v>
      </c>
      <c r="M172" s="115">
        <f t="shared" si="50"/>
        <v>0</v>
      </c>
      <c r="N172" s="115"/>
      <c r="O172" s="115"/>
      <c r="P172" s="115"/>
      <c r="Q172" s="247"/>
    </row>
    <row r="173" spans="1:17" s="136" customFormat="1" ht="22.5">
      <c r="A173" s="556"/>
      <c r="B173" s="77" t="s">
        <v>339</v>
      </c>
      <c r="C173" s="34"/>
      <c r="D173" s="252">
        <v>4018</v>
      </c>
      <c r="E173" s="115">
        <f t="shared" si="47"/>
        <v>5100</v>
      </c>
      <c r="F173" s="115"/>
      <c r="G173" s="247">
        <f>M173</f>
        <v>5100</v>
      </c>
      <c r="H173" s="115">
        <f t="shared" si="48"/>
        <v>5100</v>
      </c>
      <c r="I173" s="115">
        <f t="shared" si="49"/>
        <v>0</v>
      </c>
      <c r="J173" s="115"/>
      <c r="K173" s="115"/>
      <c r="L173" s="115"/>
      <c r="M173" s="115">
        <f t="shared" si="50"/>
        <v>5100</v>
      </c>
      <c r="N173" s="115"/>
      <c r="O173" s="115"/>
      <c r="P173" s="115"/>
      <c r="Q173" s="404">
        <v>5100</v>
      </c>
    </row>
    <row r="174" spans="1:17" s="136" customFormat="1" ht="22.5">
      <c r="A174" s="556"/>
      <c r="B174" s="77" t="s">
        <v>339</v>
      </c>
      <c r="C174" s="34"/>
      <c r="D174" s="252">
        <v>4019</v>
      </c>
      <c r="E174" s="115">
        <f t="shared" si="47"/>
        <v>900</v>
      </c>
      <c r="F174" s="115">
        <f>I174</f>
        <v>900</v>
      </c>
      <c r="G174" s="247"/>
      <c r="H174" s="115">
        <f t="shared" si="48"/>
        <v>900</v>
      </c>
      <c r="I174" s="115">
        <f t="shared" si="49"/>
        <v>900</v>
      </c>
      <c r="J174" s="115"/>
      <c r="K174" s="115"/>
      <c r="L174" s="404">
        <v>900</v>
      </c>
      <c r="M174" s="115">
        <f t="shared" si="50"/>
        <v>0</v>
      </c>
      <c r="N174" s="115"/>
      <c r="O174" s="115"/>
      <c r="P174" s="115"/>
      <c r="Q174" s="247"/>
    </row>
    <row r="175" spans="1:17" s="136" customFormat="1" ht="22.5">
      <c r="A175" s="556"/>
      <c r="B175" s="77" t="s">
        <v>21</v>
      </c>
      <c r="C175" s="34"/>
      <c r="D175" s="252">
        <v>4178</v>
      </c>
      <c r="E175" s="115">
        <f t="shared" si="47"/>
        <v>72650</v>
      </c>
      <c r="F175" s="115"/>
      <c r="G175" s="247">
        <f>M175</f>
        <v>72650</v>
      </c>
      <c r="H175" s="115">
        <f t="shared" si="48"/>
        <v>72650</v>
      </c>
      <c r="I175" s="115">
        <f t="shared" si="49"/>
        <v>0</v>
      </c>
      <c r="J175" s="115"/>
      <c r="K175" s="115"/>
      <c r="L175" s="115"/>
      <c r="M175" s="115">
        <f t="shared" si="50"/>
        <v>72650</v>
      </c>
      <c r="N175" s="115"/>
      <c r="O175" s="115"/>
      <c r="P175" s="115"/>
      <c r="Q175" s="404">
        <v>72650</v>
      </c>
    </row>
    <row r="176" spans="1:17" s="136" customFormat="1" ht="22.5">
      <c r="A176" s="556"/>
      <c r="B176" s="77" t="s">
        <v>21</v>
      </c>
      <c r="C176" s="34"/>
      <c r="D176" s="252">
        <v>4179</v>
      </c>
      <c r="E176" s="115">
        <f t="shared" si="47"/>
        <v>9329</v>
      </c>
      <c r="F176" s="115">
        <f>I176</f>
        <v>9329</v>
      </c>
      <c r="G176" s="247"/>
      <c r="H176" s="115">
        <f t="shared" si="48"/>
        <v>9329</v>
      </c>
      <c r="I176" s="115">
        <f t="shared" si="49"/>
        <v>9329</v>
      </c>
      <c r="J176" s="115"/>
      <c r="K176" s="115"/>
      <c r="L176" s="404">
        <v>9329</v>
      </c>
      <c r="M176" s="115">
        <f t="shared" si="50"/>
        <v>0</v>
      </c>
      <c r="N176" s="115"/>
      <c r="O176" s="115"/>
      <c r="P176" s="115"/>
      <c r="Q176" s="247"/>
    </row>
    <row r="177" spans="1:17" s="136" customFormat="1" ht="22.5">
      <c r="A177" s="556"/>
      <c r="B177" s="77" t="s">
        <v>658</v>
      </c>
      <c r="C177" s="34"/>
      <c r="D177" s="252">
        <v>4218</v>
      </c>
      <c r="E177" s="115">
        <f t="shared" si="47"/>
        <v>7344</v>
      </c>
      <c r="F177" s="115"/>
      <c r="G177" s="247">
        <f>M177</f>
        <v>7344</v>
      </c>
      <c r="H177" s="115">
        <f t="shared" si="48"/>
        <v>7344</v>
      </c>
      <c r="I177" s="115">
        <f t="shared" si="49"/>
        <v>0</v>
      </c>
      <c r="J177" s="115"/>
      <c r="K177" s="115"/>
      <c r="L177" s="115"/>
      <c r="M177" s="115">
        <f t="shared" si="50"/>
        <v>7344</v>
      </c>
      <c r="N177" s="115"/>
      <c r="O177" s="115"/>
      <c r="P177" s="115"/>
      <c r="Q177" s="404">
        <v>7344</v>
      </c>
    </row>
    <row r="178" spans="1:17" s="136" customFormat="1" ht="22.5">
      <c r="A178" s="556"/>
      <c r="B178" s="77" t="s">
        <v>658</v>
      </c>
      <c r="C178" s="34"/>
      <c r="D178" s="252">
        <v>4219</v>
      </c>
      <c r="E178" s="115">
        <f t="shared" si="47"/>
        <v>1296</v>
      </c>
      <c r="F178" s="115">
        <f>H178</f>
        <v>1296</v>
      </c>
      <c r="G178" s="247"/>
      <c r="H178" s="115">
        <f t="shared" si="48"/>
        <v>1296</v>
      </c>
      <c r="I178" s="115">
        <f t="shared" si="49"/>
        <v>1296</v>
      </c>
      <c r="J178" s="115"/>
      <c r="K178" s="115"/>
      <c r="L178" s="404">
        <v>1296</v>
      </c>
      <c r="M178" s="115">
        <f t="shared" si="50"/>
        <v>0</v>
      </c>
      <c r="N178" s="115"/>
      <c r="O178" s="115"/>
      <c r="P178" s="115"/>
      <c r="Q178" s="247"/>
    </row>
    <row r="179" spans="1:17" s="136" customFormat="1" ht="33.75">
      <c r="A179" s="556"/>
      <c r="B179" s="318" t="s">
        <v>64</v>
      </c>
      <c r="C179" s="34"/>
      <c r="D179" s="252">
        <v>4758</v>
      </c>
      <c r="E179" s="115">
        <f t="shared" si="47"/>
        <v>1768</v>
      </c>
      <c r="F179" s="115"/>
      <c r="G179" s="247">
        <f>M179</f>
        <v>1768</v>
      </c>
      <c r="H179" s="115">
        <f t="shared" si="48"/>
        <v>1768</v>
      </c>
      <c r="I179" s="115">
        <f t="shared" si="49"/>
        <v>0</v>
      </c>
      <c r="J179" s="115"/>
      <c r="K179" s="115"/>
      <c r="L179" s="115"/>
      <c r="M179" s="115">
        <f t="shared" si="50"/>
        <v>1768</v>
      </c>
      <c r="N179" s="115"/>
      <c r="O179" s="115"/>
      <c r="P179" s="115"/>
      <c r="Q179" s="404">
        <v>1768</v>
      </c>
    </row>
    <row r="180" spans="1:17" s="136" customFormat="1" ht="33.75">
      <c r="A180" s="556"/>
      <c r="B180" s="318" t="s">
        <v>64</v>
      </c>
      <c r="C180" s="34"/>
      <c r="D180" s="252">
        <v>4759</v>
      </c>
      <c r="E180" s="115">
        <f t="shared" si="47"/>
        <v>312</v>
      </c>
      <c r="F180" s="115">
        <f>H180</f>
        <v>312</v>
      </c>
      <c r="G180" s="247"/>
      <c r="H180" s="115">
        <f t="shared" si="48"/>
        <v>312</v>
      </c>
      <c r="I180" s="115">
        <f t="shared" si="49"/>
        <v>312</v>
      </c>
      <c r="J180" s="115"/>
      <c r="K180" s="115"/>
      <c r="L180" s="404">
        <v>312</v>
      </c>
      <c r="M180" s="115">
        <f t="shared" si="50"/>
        <v>0</v>
      </c>
      <c r="N180" s="115"/>
      <c r="O180" s="115"/>
      <c r="P180" s="115"/>
      <c r="Q180" s="247"/>
    </row>
    <row r="181" spans="1:17" s="136" customFormat="1" ht="12.75">
      <c r="A181" s="556"/>
      <c r="B181" s="77" t="s">
        <v>641</v>
      </c>
      <c r="C181" s="34"/>
      <c r="D181" s="252">
        <v>4308</v>
      </c>
      <c r="E181" s="115">
        <f t="shared" si="47"/>
        <v>38551</v>
      </c>
      <c r="F181" s="115"/>
      <c r="G181" s="247">
        <f>M181</f>
        <v>38551</v>
      </c>
      <c r="H181" s="115">
        <f t="shared" si="48"/>
        <v>38551</v>
      </c>
      <c r="I181" s="115">
        <f t="shared" si="49"/>
        <v>0</v>
      </c>
      <c r="J181" s="115"/>
      <c r="K181" s="115"/>
      <c r="L181" s="115"/>
      <c r="M181" s="115">
        <f t="shared" si="50"/>
        <v>38551</v>
      </c>
      <c r="N181" s="115"/>
      <c r="O181" s="115"/>
      <c r="P181" s="115"/>
      <c r="Q181" s="404">
        <v>38551</v>
      </c>
    </row>
    <row r="182" spans="1:17" s="136" customFormat="1" ht="12.75">
      <c r="A182" s="556"/>
      <c r="B182" s="77" t="s">
        <v>641</v>
      </c>
      <c r="C182" s="34"/>
      <c r="D182" s="252">
        <v>4309</v>
      </c>
      <c r="E182" s="115">
        <f t="shared" si="47"/>
        <v>1465</v>
      </c>
      <c r="F182" s="115">
        <f>H182</f>
        <v>1465</v>
      </c>
      <c r="G182" s="247"/>
      <c r="H182" s="115">
        <f t="shared" si="48"/>
        <v>1465</v>
      </c>
      <c r="I182" s="115">
        <f t="shared" si="49"/>
        <v>1465</v>
      </c>
      <c r="J182" s="115"/>
      <c r="K182" s="115"/>
      <c r="L182" s="404">
        <v>1465</v>
      </c>
      <c r="M182" s="115">
        <f t="shared" si="50"/>
        <v>0</v>
      </c>
      <c r="N182" s="115"/>
      <c r="O182" s="115"/>
      <c r="P182" s="115"/>
      <c r="Q182" s="247"/>
    </row>
    <row r="183" spans="1:17" s="136" customFormat="1" ht="22.5">
      <c r="A183" s="556"/>
      <c r="B183" s="348" t="s">
        <v>304</v>
      </c>
      <c r="C183" s="34"/>
      <c r="D183" s="252" t="s">
        <v>482</v>
      </c>
      <c r="E183" s="115"/>
      <c r="F183" s="115" t="str">
        <f>H183</f>
        <v>x</v>
      </c>
      <c r="G183" s="247"/>
      <c r="H183" s="115" t="s">
        <v>482</v>
      </c>
      <c r="I183" s="115" t="s">
        <v>482</v>
      </c>
      <c r="J183" s="115"/>
      <c r="K183" s="115"/>
      <c r="L183" s="115"/>
      <c r="M183" s="115"/>
      <c r="N183" s="115"/>
      <c r="O183" s="115"/>
      <c r="P183" s="115"/>
      <c r="Q183" s="247"/>
    </row>
    <row r="184" spans="1:17" s="136" customFormat="1" ht="45">
      <c r="A184" s="556"/>
      <c r="B184" s="77" t="s">
        <v>24</v>
      </c>
      <c r="C184" s="34"/>
      <c r="D184" s="252">
        <v>4748</v>
      </c>
      <c r="E184" s="115">
        <f t="shared" si="47"/>
        <v>2743</v>
      </c>
      <c r="F184" s="115"/>
      <c r="G184" s="247">
        <f>M184</f>
        <v>2743</v>
      </c>
      <c r="H184" s="115">
        <f t="shared" si="48"/>
        <v>2743</v>
      </c>
      <c r="I184" s="115">
        <f t="shared" si="49"/>
        <v>0</v>
      </c>
      <c r="J184" s="115"/>
      <c r="K184" s="115"/>
      <c r="L184" s="115"/>
      <c r="M184" s="115">
        <f t="shared" si="50"/>
        <v>2743</v>
      </c>
      <c r="N184" s="115"/>
      <c r="O184" s="115"/>
      <c r="P184" s="115"/>
      <c r="Q184" s="404">
        <v>2743</v>
      </c>
    </row>
    <row r="185" spans="1:17" s="136" customFormat="1" ht="45">
      <c r="A185" s="556"/>
      <c r="B185" s="77" t="s">
        <v>24</v>
      </c>
      <c r="C185" s="34"/>
      <c r="D185" s="252">
        <v>4749</v>
      </c>
      <c r="E185" s="115">
        <f t="shared" si="47"/>
        <v>484</v>
      </c>
      <c r="F185" s="115">
        <f>H185</f>
        <v>484</v>
      </c>
      <c r="G185" s="247"/>
      <c r="H185" s="115">
        <f t="shared" si="48"/>
        <v>484</v>
      </c>
      <c r="I185" s="115">
        <f t="shared" si="49"/>
        <v>484</v>
      </c>
      <c r="J185" s="115"/>
      <c r="K185" s="115"/>
      <c r="L185" s="404">
        <v>484</v>
      </c>
      <c r="M185" s="115">
        <f t="shared" si="50"/>
        <v>0</v>
      </c>
      <c r="N185" s="115"/>
      <c r="O185" s="115"/>
      <c r="P185" s="115"/>
      <c r="Q185" s="247"/>
    </row>
    <row r="186" spans="1:17" s="136" customFormat="1" ht="22.5">
      <c r="A186" s="556"/>
      <c r="B186" s="77" t="s">
        <v>305</v>
      </c>
      <c r="C186" s="34"/>
      <c r="D186" s="252">
        <v>4358</v>
      </c>
      <c r="E186" s="115">
        <f t="shared" si="47"/>
        <v>308</v>
      </c>
      <c r="F186" s="115"/>
      <c r="G186" s="247">
        <f>M186</f>
        <v>308</v>
      </c>
      <c r="H186" s="115">
        <f t="shared" si="48"/>
        <v>308</v>
      </c>
      <c r="I186" s="115">
        <f t="shared" si="49"/>
        <v>0</v>
      </c>
      <c r="J186" s="115"/>
      <c r="K186" s="115"/>
      <c r="L186" s="115"/>
      <c r="M186" s="115">
        <f t="shared" si="50"/>
        <v>308</v>
      </c>
      <c r="N186" s="115"/>
      <c r="O186" s="115"/>
      <c r="P186" s="115"/>
      <c r="Q186" s="404">
        <v>308</v>
      </c>
    </row>
    <row r="187" spans="1:17" s="136" customFormat="1" ht="22.5">
      <c r="A187" s="556"/>
      <c r="B187" s="77" t="s">
        <v>305</v>
      </c>
      <c r="C187" s="34"/>
      <c r="D187" s="252">
        <v>4359</v>
      </c>
      <c r="E187" s="115">
        <f t="shared" si="47"/>
        <v>54</v>
      </c>
      <c r="F187" s="115">
        <f>H187</f>
        <v>54</v>
      </c>
      <c r="G187" s="247"/>
      <c r="H187" s="115">
        <f t="shared" si="48"/>
        <v>54</v>
      </c>
      <c r="I187" s="115">
        <f t="shared" si="49"/>
        <v>54</v>
      </c>
      <c r="J187" s="115"/>
      <c r="K187" s="115"/>
      <c r="L187" s="404">
        <v>54</v>
      </c>
      <c r="M187" s="115">
        <f t="shared" si="50"/>
        <v>0</v>
      </c>
      <c r="N187" s="115"/>
      <c r="O187" s="115"/>
      <c r="P187" s="115"/>
      <c r="Q187" s="247"/>
    </row>
    <row r="188" spans="1:17" s="136" customFormat="1" ht="22.5">
      <c r="A188" s="131"/>
      <c r="B188" s="412" t="s">
        <v>566</v>
      </c>
      <c r="C188" s="34"/>
      <c r="D188" s="252"/>
      <c r="E188" s="115">
        <f>F188+G188</f>
        <v>30022</v>
      </c>
      <c r="F188" s="115">
        <f>H188</f>
        <v>30022</v>
      </c>
      <c r="G188" s="247"/>
      <c r="H188" s="115">
        <f>I188+M188</f>
        <v>30022</v>
      </c>
      <c r="I188" s="115">
        <f>SUM(J188:L188)</f>
        <v>30022</v>
      </c>
      <c r="J188" s="115"/>
      <c r="K188" s="115"/>
      <c r="L188" s="404">
        <v>30022</v>
      </c>
      <c r="M188" s="115"/>
      <c r="N188" s="115"/>
      <c r="O188" s="115"/>
      <c r="P188" s="115"/>
      <c r="Q188" s="247"/>
    </row>
    <row r="189" spans="1:19" s="137" customFormat="1" ht="11.25">
      <c r="A189" s="558"/>
      <c r="B189" s="263">
        <v>2010</v>
      </c>
      <c r="C189" s="406"/>
      <c r="D189" s="406"/>
      <c r="E189" s="135">
        <f>F189+G189+E183</f>
        <v>157956</v>
      </c>
      <c r="F189" s="135">
        <f>SUM(F169:F187)</f>
        <v>16188</v>
      </c>
      <c r="G189" s="135">
        <f>SUM(G169:G187)</f>
        <v>141768</v>
      </c>
      <c r="H189" s="135">
        <f>I189+M189</f>
        <v>157956</v>
      </c>
      <c r="I189" s="135">
        <f>SUM(J189:L189)</f>
        <v>16188</v>
      </c>
      <c r="J189" s="135">
        <f>SUM(J169:J187)</f>
        <v>0</v>
      </c>
      <c r="K189" s="135">
        <f>SUM(K169:K187)</f>
        <v>0</v>
      </c>
      <c r="L189" s="135">
        <f>SUM(L169:L187)</f>
        <v>16188</v>
      </c>
      <c r="M189" s="135">
        <f>N189+O189+P189+Q189</f>
        <v>141768</v>
      </c>
      <c r="N189" s="135">
        <f>SUM(N169:N187)</f>
        <v>0</v>
      </c>
      <c r="O189" s="135">
        <f>SUM(O169:O187)</f>
        <v>0</v>
      </c>
      <c r="P189" s="135">
        <f>SUM(P169:P187)</f>
        <v>0</v>
      </c>
      <c r="Q189" s="135">
        <f>SUM(Q169:Q187)</f>
        <v>141768</v>
      </c>
      <c r="S189" s="407"/>
    </row>
    <row r="190" spans="1:17" s="136" customFormat="1" ht="11.25">
      <c r="A190" s="556"/>
      <c r="B190" s="132">
        <v>2009</v>
      </c>
      <c r="C190" s="134"/>
      <c r="D190" s="134"/>
      <c r="E190" s="133">
        <v>361670</v>
      </c>
      <c r="F190" s="133"/>
      <c r="G190" s="131"/>
      <c r="H190" s="133"/>
      <c r="I190" s="133"/>
      <c r="J190" s="134"/>
      <c r="K190" s="134"/>
      <c r="L190" s="243"/>
      <c r="M190" s="133"/>
      <c r="N190" s="134"/>
      <c r="O190" s="134"/>
      <c r="P190" s="134"/>
      <c r="Q190" s="134"/>
    </row>
    <row r="191" spans="1:17" s="136" customFormat="1" ht="11.25" customHeight="1">
      <c r="A191" s="556" t="s">
        <v>293</v>
      </c>
      <c r="B191" s="132" t="s">
        <v>521</v>
      </c>
      <c r="C191" s="610" t="s">
        <v>312</v>
      </c>
      <c r="D191" s="610"/>
      <c r="E191" s="610"/>
      <c r="F191" s="610"/>
      <c r="G191" s="610"/>
      <c r="H191" s="610"/>
      <c r="I191" s="610"/>
      <c r="J191" s="610"/>
      <c r="K191" s="610"/>
      <c r="L191" s="610"/>
      <c r="M191" s="610"/>
      <c r="N191" s="610"/>
      <c r="O191" s="610"/>
      <c r="P191" s="610"/>
      <c r="Q191" s="610"/>
    </row>
    <row r="192" spans="1:17" s="136" customFormat="1" ht="11.25" customHeight="1">
      <c r="A192" s="556"/>
      <c r="B192" s="132" t="s">
        <v>522</v>
      </c>
      <c r="C192" s="610"/>
      <c r="D192" s="610"/>
      <c r="E192" s="610"/>
      <c r="F192" s="610"/>
      <c r="G192" s="610"/>
      <c r="H192" s="610"/>
      <c r="I192" s="610"/>
      <c r="J192" s="610"/>
      <c r="K192" s="610"/>
      <c r="L192" s="610"/>
      <c r="M192" s="610"/>
      <c r="N192" s="610"/>
      <c r="O192" s="610"/>
      <c r="P192" s="610"/>
      <c r="Q192" s="610"/>
    </row>
    <row r="193" spans="1:17" s="136" customFormat="1" ht="11.25" customHeight="1">
      <c r="A193" s="556"/>
      <c r="B193" s="132" t="s">
        <v>523</v>
      </c>
      <c r="C193" s="610"/>
      <c r="D193" s="610"/>
      <c r="E193" s="610"/>
      <c r="F193" s="610"/>
      <c r="G193" s="610"/>
      <c r="H193" s="610"/>
      <c r="I193" s="610"/>
      <c r="J193" s="610"/>
      <c r="K193" s="610"/>
      <c r="L193" s="610"/>
      <c r="M193" s="610"/>
      <c r="N193" s="610"/>
      <c r="O193" s="610"/>
      <c r="P193" s="610"/>
      <c r="Q193" s="610"/>
    </row>
    <row r="194" spans="1:17" s="136" customFormat="1" ht="11.25" customHeight="1">
      <c r="A194" s="556"/>
      <c r="B194" s="132" t="s">
        <v>524</v>
      </c>
      <c r="C194" s="610"/>
      <c r="D194" s="610"/>
      <c r="E194" s="610"/>
      <c r="F194" s="610"/>
      <c r="G194" s="610"/>
      <c r="H194" s="610"/>
      <c r="I194" s="610"/>
      <c r="J194" s="610"/>
      <c r="K194" s="610"/>
      <c r="L194" s="610"/>
      <c r="M194" s="610"/>
      <c r="N194" s="610"/>
      <c r="O194" s="610"/>
      <c r="P194" s="610"/>
      <c r="Q194" s="610"/>
    </row>
    <row r="195" spans="1:17" s="136" customFormat="1" ht="12.75">
      <c r="A195" s="556"/>
      <c r="B195" s="263" t="s">
        <v>525</v>
      </c>
      <c r="C195" s="34"/>
      <c r="D195" s="138" t="s">
        <v>308</v>
      </c>
      <c r="E195" s="115">
        <f>E216+E217</f>
        <v>536118</v>
      </c>
      <c r="F195" s="115">
        <f aca="true" t="shared" si="51" ref="F195:Q195">F216+F217</f>
        <v>8680</v>
      </c>
      <c r="G195" s="115">
        <f t="shared" si="51"/>
        <v>49186</v>
      </c>
      <c r="H195" s="115">
        <f t="shared" si="51"/>
        <v>57866</v>
      </c>
      <c r="I195" s="115">
        <f t="shared" si="51"/>
        <v>8680</v>
      </c>
      <c r="J195" s="115">
        <f t="shared" si="51"/>
        <v>0</v>
      </c>
      <c r="K195" s="115">
        <f t="shared" si="51"/>
        <v>0</v>
      </c>
      <c r="L195" s="115">
        <f t="shared" si="51"/>
        <v>8680</v>
      </c>
      <c r="M195" s="115">
        <f t="shared" si="51"/>
        <v>49186</v>
      </c>
      <c r="N195" s="115">
        <f t="shared" si="51"/>
        <v>0</v>
      </c>
      <c r="O195" s="115">
        <f t="shared" si="51"/>
        <v>0</v>
      </c>
      <c r="P195" s="115">
        <f t="shared" si="51"/>
        <v>0</v>
      </c>
      <c r="Q195" s="247">
        <f t="shared" si="51"/>
        <v>49186</v>
      </c>
    </row>
    <row r="196" spans="1:17" s="136" customFormat="1" ht="22.5">
      <c r="A196" s="556"/>
      <c r="B196" s="77" t="s">
        <v>59</v>
      </c>
      <c r="C196" s="34"/>
      <c r="D196" s="252">
        <v>4118</v>
      </c>
      <c r="E196" s="115">
        <f aca="true" t="shared" si="52" ref="E196:E216">F196+G196</f>
        <v>1453</v>
      </c>
      <c r="F196" s="115"/>
      <c r="G196" s="247">
        <f>Q196</f>
        <v>1453</v>
      </c>
      <c r="H196" s="115">
        <f aca="true" t="shared" si="53" ref="H196:H216">I196+M196</f>
        <v>1453</v>
      </c>
      <c r="I196" s="115">
        <f aca="true" t="shared" si="54" ref="I196:I216">SUM(J196:L196)</f>
        <v>0</v>
      </c>
      <c r="J196" s="115"/>
      <c r="K196" s="115"/>
      <c r="L196" s="115"/>
      <c r="M196" s="115">
        <f aca="true" t="shared" si="55" ref="M196:M215">SUM(N196:Q196)</f>
        <v>1453</v>
      </c>
      <c r="N196" s="115"/>
      <c r="O196" s="115"/>
      <c r="P196" s="115"/>
      <c r="Q196" s="404">
        <v>1453</v>
      </c>
    </row>
    <row r="197" spans="1:17" s="136" customFormat="1" ht="22.5">
      <c r="A197" s="556"/>
      <c r="B197" s="77" t="s">
        <v>59</v>
      </c>
      <c r="C197" s="34"/>
      <c r="D197" s="252">
        <v>4119</v>
      </c>
      <c r="E197" s="115">
        <f t="shared" si="52"/>
        <v>256</v>
      </c>
      <c r="F197" s="115">
        <f>L197</f>
        <v>256</v>
      </c>
      <c r="G197" s="247"/>
      <c r="H197" s="115">
        <f t="shared" si="53"/>
        <v>256</v>
      </c>
      <c r="I197" s="115">
        <f t="shared" si="54"/>
        <v>256</v>
      </c>
      <c r="J197" s="115"/>
      <c r="K197" s="115"/>
      <c r="L197" s="404">
        <v>256</v>
      </c>
      <c r="M197" s="115">
        <f t="shared" si="55"/>
        <v>0</v>
      </c>
      <c r="N197" s="115"/>
      <c r="O197" s="115"/>
      <c r="P197" s="115"/>
      <c r="Q197" s="247"/>
    </row>
    <row r="198" spans="1:17" s="136" customFormat="1" ht="12.75">
      <c r="A198" s="556"/>
      <c r="B198" s="77" t="s">
        <v>61</v>
      </c>
      <c r="C198" s="34"/>
      <c r="D198" s="252">
        <v>4128</v>
      </c>
      <c r="E198" s="115">
        <f t="shared" si="52"/>
        <v>232</v>
      </c>
      <c r="F198" s="115"/>
      <c r="G198" s="247">
        <f>Q198</f>
        <v>232</v>
      </c>
      <c r="H198" s="115">
        <f t="shared" si="53"/>
        <v>232</v>
      </c>
      <c r="I198" s="115">
        <f t="shared" si="54"/>
        <v>0</v>
      </c>
      <c r="J198" s="115"/>
      <c r="K198" s="115"/>
      <c r="L198" s="115"/>
      <c r="M198" s="115">
        <f t="shared" si="55"/>
        <v>232</v>
      </c>
      <c r="N198" s="115"/>
      <c r="O198" s="115"/>
      <c r="P198" s="115"/>
      <c r="Q198" s="404">
        <v>232</v>
      </c>
    </row>
    <row r="199" spans="1:17" s="136" customFormat="1" ht="12.75">
      <c r="A199" s="556"/>
      <c r="B199" s="77" t="s">
        <v>61</v>
      </c>
      <c r="C199" s="34"/>
      <c r="D199" s="252">
        <v>4129</v>
      </c>
      <c r="E199" s="115">
        <f t="shared" si="52"/>
        <v>41</v>
      </c>
      <c r="F199" s="115">
        <f>L199</f>
        <v>41</v>
      </c>
      <c r="G199" s="247"/>
      <c r="H199" s="115">
        <f t="shared" si="53"/>
        <v>41</v>
      </c>
      <c r="I199" s="115">
        <f t="shared" si="54"/>
        <v>41</v>
      </c>
      <c r="J199" s="115"/>
      <c r="K199" s="115"/>
      <c r="L199" s="404">
        <v>41</v>
      </c>
      <c r="M199" s="115">
        <f t="shared" si="55"/>
        <v>0</v>
      </c>
      <c r="N199" s="115"/>
      <c r="O199" s="115"/>
      <c r="P199" s="115"/>
      <c r="Q199" s="247"/>
    </row>
    <row r="200" spans="1:17" s="136" customFormat="1" ht="22.5">
      <c r="A200" s="556"/>
      <c r="B200" s="77" t="s">
        <v>339</v>
      </c>
      <c r="C200" s="34"/>
      <c r="D200" s="252">
        <v>4018</v>
      </c>
      <c r="E200" s="115">
        <f t="shared" si="52"/>
        <v>1275</v>
      </c>
      <c r="F200" s="115"/>
      <c r="G200" s="247">
        <f>M200</f>
        <v>1275</v>
      </c>
      <c r="H200" s="115">
        <f t="shared" si="53"/>
        <v>1275</v>
      </c>
      <c r="I200" s="115">
        <f t="shared" si="54"/>
        <v>0</v>
      </c>
      <c r="J200" s="115"/>
      <c r="K200" s="115"/>
      <c r="L200" s="115"/>
      <c r="M200" s="115">
        <f t="shared" si="55"/>
        <v>1275</v>
      </c>
      <c r="N200" s="115"/>
      <c r="O200" s="115"/>
      <c r="P200" s="115"/>
      <c r="Q200" s="404">
        <v>1275</v>
      </c>
    </row>
    <row r="201" spans="1:17" s="136" customFormat="1" ht="22.5">
      <c r="A201" s="556"/>
      <c r="B201" s="77" t="s">
        <v>339</v>
      </c>
      <c r="C201" s="34"/>
      <c r="D201" s="252">
        <v>4019</v>
      </c>
      <c r="E201" s="115">
        <f t="shared" si="52"/>
        <v>225</v>
      </c>
      <c r="F201" s="115">
        <f>I201</f>
        <v>225</v>
      </c>
      <c r="G201" s="247"/>
      <c r="H201" s="115">
        <f t="shared" si="53"/>
        <v>225</v>
      </c>
      <c r="I201" s="115">
        <f t="shared" si="54"/>
        <v>225</v>
      </c>
      <c r="J201" s="115"/>
      <c r="K201" s="115"/>
      <c r="L201" s="404">
        <v>225</v>
      </c>
      <c r="M201" s="115">
        <f t="shared" si="55"/>
        <v>0</v>
      </c>
      <c r="N201" s="115"/>
      <c r="O201" s="115"/>
      <c r="P201" s="115"/>
      <c r="Q201" s="247"/>
    </row>
    <row r="202" spans="1:17" s="136" customFormat="1" ht="22.5">
      <c r="A202" s="556"/>
      <c r="B202" s="77" t="s">
        <v>21</v>
      </c>
      <c r="C202" s="34"/>
      <c r="D202" s="252">
        <v>4178</v>
      </c>
      <c r="E202" s="115">
        <f t="shared" si="52"/>
        <v>8195</v>
      </c>
      <c r="F202" s="115"/>
      <c r="G202" s="247">
        <f>M202</f>
        <v>8195</v>
      </c>
      <c r="H202" s="115">
        <f t="shared" si="53"/>
        <v>8195</v>
      </c>
      <c r="I202" s="115">
        <f t="shared" si="54"/>
        <v>0</v>
      </c>
      <c r="J202" s="115"/>
      <c r="K202" s="115"/>
      <c r="L202" s="115"/>
      <c r="M202" s="115">
        <f t="shared" si="55"/>
        <v>8195</v>
      </c>
      <c r="N202" s="115"/>
      <c r="O202" s="115"/>
      <c r="P202" s="115"/>
      <c r="Q202" s="404">
        <v>8195</v>
      </c>
    </row>
    <row r="203" spans="1:17" s="136" customFormat="1" ht="22.5">
      <c r="A203" s="556"/>
      <c r="B203" s="77" t="s">
        <v>21</v>
      </c>
      <c r="C203" s="34"/>
      <c r="D203" s="252">
        <v>4179</v>
      </c>
      <c r="E203" s="115">
        <f t="shared" si="52"/>
        <v>1446</v>
      </c>
      <c r="F203" s="115">
        <f>I203</f>
        <v>1446</v>
      </c>
      <c r="G203" s="247"/>
      <c r="H203" s="115">
        <f t="shared" si="53"/>
        <v>1446</v>
      </c>
      <c r="I203" s="115">
        <f t="shared" si="54"/>
        <v>1446</v>
      </c>
      <c r="J203" s="115"/>
      <c r="K203" s="115"/>
      <c r="L203" s="404">
        <v>1446</v>
      </c>
      <c r="M203" s="115">
        <f t="shared" si="55"/>
        <v>0</v>
      </c>
      <c r="N203" s="115"/>
      <c r="O203" s="115"/>
      <c r="P203" s="115"/>
      <c r="Q203" s="247"/>
    </row>
    <row r="204" spans="1:17" s="136" customFormat="1" ht="22.5">
      <c r="A204" s="556"/>
      <c r="B204" s="77" t="s">
        <v>658</v>
      </c>
      <c r="C204" s="34"/>
      <c r="D204" s="252">
        <v>4218</v>
      </c>
      <c r="E204" s="115">
        <f t="shared" si="52"/>
        <v>885</v>
      </c>
      <c r="F204" s="115"/>
      <c r="G204" s="247">
        <f>M204</f>
        <v>885</v>
      </c>
      <c r="H204" s="115">
        <f t="shared" si="53"/>
        <v>885</v>
      </c>
      <c r="I204" s="115">
        <f t="shared" si="54"/>
        <v>0</v>
      </c>
      <c r="J204" s="115"/>
      <c r="K204" s="115"/>
      <c r="L204" s="115"/>
      <c r="M204" s="115">
        <f t="shared" si="55"/>
        <v>885</v>
      </c>
      <c r="N204" s="115"/>
      <c r="O204" s="115"/>
      <c r="P204" s="115"/>
      <c r="Q204" s="404">
        <v>885</v>
      </c>
    </row>
    <row r="205" spans="1:17" s="136" customFormat="1" ht="22.5">
      <c r="A205" s="556"/>
      <c r="B205" s="77" t="s">
        <v>658</v>
      </c>
      <c r="C205" s="34"/>
      <c r="D205" s="252">
        <v>4219</v>
      </c>
      <c r="E205" s="115">
        <f t="shared" si="52"/>
        <v>156</v>
      </c>
      <c r="F205" s="115">
        <f>H205</f>
        <v>156</v>
      </c>
      <c r="G205" s="247"/>
      <c r="H205" s="115">
        <f t="shared" si="53"/>
        <v>156</v>
      </c>
      <c r="I205" s="115">
        <f t="shared" si="54"/>
        <v>156</v>
      </c>
      <c r="J205" s="115"/>
      <c r="K205" s="115"/>
      <c r="L205" s="404">
        <v>156</v>
      </c>
      <c r="M205" s="115">
        <f t="shared" si="55"/>
        <v>0</v>
      </c>
      <c r="N205" s="115"/>
      <c r="O205" s="115"/>
      <c r="P205" s="115"/>
      <c r="Q205" s="247"/>
    </row>
    <row r="206" spans="1:17" s="136" customFormat="1" ht="33.75">
      <c r="A206" s="556"/>
      <c r="B206" s="318" t="s">
        <v>64</v>
      </c>
      <c r="C206" s="34"/>
      <c r="D206" s="252">
        <v>4758</v>
      </c>
      <c r="E206" s="115">
        <f t="shared" si="52"/>
        <v>0</v>
      </c>
      <c r="F206" s="115"/>
      <c r="G206" s="247">
        <f>M206</f>
        <v>0</v>
      </c>
      <c r="H206" s="115">
        <f t="shared" si="53"/>
        <v>0</v>
      </c>
      <c r="I206" s="115">
        <f t="shared" si="54"/>
        <v>0</v>
      </c>
      <c r="J206" s="115"/>
      <c r="K206" s="115"/>
      <c r="L206" s="115"/>
      <c r="M206" s="115">
        <f t="shared" si="55"/>
        <v>0</v>
      </c>
      <c r="N206" s="115"/>
      <c r="O206" s="115"/>
      <c r="P206" s="115"/>
      <c r="Q206" s="247"/>
    </row>
    <row r="207" spans="1:17" s="136" customFormat="1" ht="33.75">
      <c r="A207" s="556"/>
      <c r="B207" s="318" t="s">
        <v>64</v>
      </c>
      <c r="C207" s="34"/>
      <c r="D207" s="252">
        <v>4759</v>
      </c>
      <c r="E207" s="115">
        <f t="shared" si="52"/>
        <v>0</v>
      </c>
      <c r="F207" s="115">
        <f>H207</f>
        <v>0</v>
      </c>
      <c r="G207" s="247"/>
      <c r="H207" s="115">
        <f t="shared" si="53"/>
        <v>0</v>
      </c>
      <c r="I207" s="115">
        <f t="shared" si="54"/>
        <v>0</v>
      </c>
      <c r="J207" s="115"/>
      <c r="K207" s="115"/>
      <c r="L207" s="115"/>
      <c r="M207" s="115">
        <f t="shared" si="55"/>
        <v>0</v>
      </c>
      <c r="N207" s="115"/>
      <c r="O207" s="115"/>
      <c r="P207" s="115"/>
      <c r="Q207" s="247"/>
    </row>
    <row r="208" spans="1:17" s="136" customFormat="1" ht="12.75">
      <c r="A208" s="556"/>
      <c r="B208" s="77" t="s">
        <v>641</v>
      </c>
      <c r="C208" s="34"/>
      <c r="D208" s="252">
        <v>4308</v>
      </c>
      <c r="E208" s="115">
        <f t="shared" si="52"/>
        <v>36675</v>
      </c>
      <c r="F208" s="115"/>
      <c r="G208" s="247">
        <f>M208</f>
        <v>36675</v>
      </c>
      <c r="H208" s="115">
        <f t="shared" si="53"/>
        <v>36675</v>
      </c>
      <c r="I208" s="115">
        <f t="shared" si="54"/>
        <v>0</v>
      </c>
      <c r="J208" s="115"/>
      <c r="K208" s="115"/>
      <c r="L208" s="115"/>
      <c r="M208" s="115">
        <f t="shared" si="55"/>
        <v>36675</v>
      </c>
      <c r="N208" s="115"/>
      <c r="O208" s="115"/>
      <c r="P208" s="115"/>
      <c r="Q208" s="404">
        <v>36675</v>
      </c>
    </row>
    <row r="209" spans="1:17" s="136" customFormat="1" ht="12.75">
      <c r="A209" s="556"/>
      <c r="B209" s="77" t="s">
        <v>641</v>
      </c>
      <c r="C209" s="34"/>
      <c r="D209" s="252">
        <v>4309</v>
      </c>
      <c r="E209" s="115">
        <f t="shared" si="52"/>
        <v>6472</v>
      </c>
      <c r="F209" s="115">
        <f>H209</f>
        <v>6472</v>
      </c>
      <c r="G209" s="247"/>
      <c r="H209" s="115">
        <f t="shared" si="53"/>
        <v>6472</v>
      </c>
      <c r="I209" s="115">
        <f t="shared" si="54"/>
        <v>6472</v>
      </c>
      <c r="J209" s="115"/>
      <c r="K209" s="115"/>
      <c r="L209" s="404">
        <v>6472</v>
      </c>
      <c r="M209" s="115">
        <f t="shared" si="55"/>
        <v>0</v>
      </c>
      <c r="N209" s="115"/>
      <c r="O209" s="115"/>
      <c r="P209" s="115"/>
      <c r="Q209" s="247"/>
    </row>
    <row r="210" spans="1:17" s="136" customFormat="1" ht="33.75">
      <c r="A210" s="556"/>
      <c r="B210" s="77" t="s">
        <v>63</v>
      </c>
      <c r="C210" s="34"/>
      <c r="D210" s="252">
        <v>4378</v>
      </c>
      <c r="E210" s="115">
        <f t="shared" si="52"/>
        <v>185</v>
      </c>
      <c r="F210" s="115"/>
      <c r="G210" s="247">
        <f>M210</f>
        <v>185</v>
      </c>
      <c r="H210" s="115">
        <f t="shared" si="53"/>
        <v>185</v>
      </c>
      <c r="I210" s="115">
        <f t="shared" si="54"/>
        <v>0</v>
      </c>
      <c r="J210" s="115"/>
      <c r="K210" s="115"/>
      <c r="L210" s="115"/>
      <c r="M210" s="115">
        <f t="shared" si="55"/>
        <v>185</v>
      </c>
      <c r="N210" s="115"/>
      <c r="O210" s="115"/>
      <c r="P210" s="115"/>
      <c r="Q210" s="404">
        <v>185</v>
      </c>
    </row>
    <row r="211" spans="1:17" s="136" customFormat="1" ht="33.75">
      <c r="A211" s="556"/>
      <c r="B211" s="77" t="s">
        <v>63</v>
      </c>
      <c r="C211" s="34"/>
      <c r="D211" s="252">
        <v>4379</v>
      </c>
      <c r="E211" s="115">
        <f t="shared" si="52"/>
        <v>33</v>
      </c>
      <c r="F211" s="115">
        <f>H211</f>
        <v>33</v>
      </c>
      <c r="G211" s="247"/>
      <c r="H211" s="115">
        <f t="shared" si="53"/>
        <v>33</v>
      </c>
      <c r="I211" s="115">
        <f t="shared" si="54"/>
        <v>33</v>
      </c>
      <c r="J211" s="115"/>
      <c r="K211" s="115"/>
      <c r="L211" s="404">
        <v>33</v>
      </c>
      <c r="M211" s="115">
        <f t="shared" si="55"/>
        <v>0</v>
      </c>
      <c r="N211" s="115"/>
      <c r="O211" s="115"/>
      <c r="P211" s="115"/>
      <c r="Q211" s="247"/>
    </row>
    <row r="212" spans="1:17" s="136" customFormat="1" ht="45">
      <c r="A212" s="556"/>
      <c r="B212" s="77" t="s">
        <v>24</v>
      </c>
      <c r="C212" s="34"/>
      <c r="D212" s="252">
        <v>4748</v>
      </c>
      <c r="E212" s="115">
        <f t="shared" si="52"/>
        <v>0</v>
      </c>
      <c r="F212" s="115"/>
      <c r="G212" s="247">
        <f>M212</f>
        <v>0</v>
      </c>
      <c r="H212" s="115">
        <f t="shared" si="53"/>
        <v>0</v>
      </c>
      <c r="I212" s="115">
        <f t="shared" si="54"/>
        <v>0</v>
      </c>
      <c r="J212" s="115"/>
      <c r="K212" s="115"/>
      <c r="L212" s="115"/>
      <c r="M212" s="115">
        <f t="shared" si="55"/>
        <v>0</v>
      </c>
      <c r="N212" s="115"/>
      <c r="O212" s="115"/>
      <c r="P212" s="115"/>
      <c r="Q212" s="247"/>
    </row>
    <row r="213" spans="1:17" s="136" customFormat="1" ht="45">
      <c r="A213" s="556"/>
      <c r="B213" s="77" t="s">
        <v>24</v>
      </c>
      <c r="C213" s="34"/>
      <c r="D213" s="252">
        <v>4749</v>
      </c>
      <c r="E213" s="115">
        <f t="shared" si="52"/>
        <v>0</v>
      </c>
      <c r="F213" s="115">
        <f>H213</f>
        <v>0</v>
      </c>
      <c r="G213" s="247"/>
      <c r="H213" s="115">
        <f t="shared" si="53"/>
        <v>0</v>
      </c>
      <c r="I213" s="115">
        <f t="shared" si="54"/>
        <v>0</v>
      </c>
      <c r="J213" s="115"/>
      <c r="K213" s="115"/>
      <c r="L213" s="115"/>
      <c r="M213" s="115">
        <f t="shared" si="55"/>
        <v>0</v>
      </c>
      <c r="N213" s="115"/>
      <c r="O213" s="115"/>
      <c r="P213" s="115"/>
      <c r="Q213" s="247"/>
    </row>
    <row r="214" spans="1:17" s="136" customFormat="1" ht="22.5">
      <c r="A214" s="556"/>
      <c r="B214" s="323" t="s">
        <v>667</v>
      </c>
      <c r="C214" s="34"/>
      <c r="D214" s="252">
        <v>4418</v>
      </c>
      <c r="E214" s="115">
        <f t="shared" si="52"/>
        <v>286</v>
      </c>
      <c r="F214" s="115"/>
      <c r="G214" s="247">
        <f>M214</f>
        <v>286</v>
      </c>
      <c r="H214" s="115">
        <f t="shared" si="53"/>
        <v>286</v>
      </c>
      <c r="I214" s="115">
        <f t="shared" si="54"/>
        <v>0</v>
      </c>
      <c r="J214" s="115"/>
      <c r="K214" s="115"/>
      <c r="L214" s="115"/>
      <c r="M214" s="115">
        <f t="shared" si="55"/>
        <v>286</v>
      </c>
      <c r="N214" s="115"/>
      <c r="O214" s="115"/>
      <c r="P214" s="115"/>
      <c r="Q214" s="404">
        <v>286</v>
      </c>
    </row>
    <row r="215" spans="1:17" s="136" customFormat="1" ht="22.5">
      <c r="A215" s="556"/>
      <c r="B215" s="323" t="s">
        <v>667</v>
      </c>
      <c r="C215" s="34"/>
      <c r="D215" s="252">
        <v>4419</v>
      </c>
      <c r="E215" s="115">
        <f t="shared" si="52"/>
        <v>51</v>
      </c>
      <c r="F215" s="115">
        <f>H215</f>
        <v>51</v>
      </c>
      <c r="G215" s="247"/>
      <c r="H215" s="115">
        <f t="shared" si="53"/>
        <v>51</v>
      </c>
      <c r="I215" s="115">
        <f t="shared" si="54"/>
        <v>51</v>
      </c>
      <c r="J215" s="115"/>
      <c r="K215" s="115"/>
      <c r="L215" s="404">
        <v>51</v>
      </c>
      <c r="M215" s="115">
        <f t="shared" si="55"/>
        <v>0</v>
      </c>
      <c r="N215" s="115"/>
      <c r="O215" s="115"/>
      <c r="P215" s="115"/>
      <c r="Q215" s="247"/>
    </row>
    <row r="216" spans="1:19" s="137" customFormat="1" ht="11.25">
      <c r="A216" s="558"/>
      <c r="B216" s="263">
        <v>2010</v>
      </c>
      <c r="C216" s="406"/>
      <c r="D216" s="406"/>
      <c r="E216" s="135">
        <f t="shared" si="52"/>
        <v>57866</v>
      </c>
      <c r="F216" s="135">
        <f>SUM(F196:F215)</f>
        <v>8680</v>
      </c>
      <c r="G216" s="135">
        <f>SUM(G196:G215)</f>
        <v>49186</v>
      </c>
      <c r="H216" s="135">
        <f t="shared" si="53"/>
        <v>57866</v>
      </c>
      <c r="I216" s="135">
        <f t="shared" si="54"/>
        <v>8680</v>
      </c>
      <c r="J216" s="135">
        <f>SUM(J196:J215)</f>
        <v>0</v>
      </c>
      <c r="K216" s="135">
        <f>SUM(K196:K215)</f>
        <v>0</v>
      </c>
      <c r="L216" s="135">
        <f>SUM(L196:L215)</f>
        <v>8680</v>
      </c>
      <c r="M216" s="135">
        <f>N216+O216+P216+Q216</f>
        <v>49186</v>
      </c>
      <c r="N216" s="135">
        <f>SUM(N196:N215)</f>
        <v>0</v>
      </c>
      <c r="O216" s="135">
        <f>SUM(O196:O215)</f>
        <v>0</v>
      </c>
      <c r="P216" s="135">
        <f>SUM(P196:P215)</f>
        <v>0</v>
      </c>
      <c r="Q216" s="135">
        <f>SUM(Q196:Q215)</f>
        <v>49186</v>
      </c>
      <c r="S216" s="407"/>
    </row>
    <row r="217" spans="1:17" s="136" customFormat="1" ht="11.25">
      <c r="A217" s="556"/>
      <c r="B217" s="132">
        <v>2009</v>
      </c>
      <c r="C217" s="134"/>
      <c r="D217" s="134"/>
      <c r="E217" s="133">
        <v>478252</v>
      </c>
      <c r="F217" s="133"/>
      <c r="G217" s="131"/>
      <c r="H217" s="133"/>
      <c r="I217" s="133"/>
      <c r="J217" s="134"/>
      <c r="K217" s="134"/>
      <c r="L217" s="243"/>
      <c r="M217" s="133"/>
      <c r="N217" s="134"/>
      <c r="O217" s="134"/>
      <c r="P217" s="134"/>
      <c r="Q217" s="134"/>
    </row>
    <row r="218" spans="1:17" s="136" customFormat="1" ht="11.25" customHeight="1" hidden="1">
      <c r="A218" s="556" t="s">
        <v>327</v>
      </c>
      <c r="B218" s="132" t="s">
        <v>521</v>
      </c>
      <c r="C218" s="610" t="s">
        <v>307</v>
      </c>
      <c r="D218" s="610"/>
      <c r="E218" s="610"/>
      <c r="F218" s="610"/>
      <c r="G218" s="610"/>
      <c r="H218" s="610"/>
      <c r="I218" s="610"/>
      <c r="J218" s="610"/>
      <c r="K218" s="610"/>
      <c r="L218" s="610"/>
      <c r="M218" s="610"/>
      <c r="N218" s="610"/>
      <c r="O218" s="610"/>
      <c r="P218" s="610"/>
      <c r="Q218" s="610"/>
    </row>
    <row r="219" spans="1:17" s="136" customFormat="1" ht="11.25" customHeight="1" hidden="1">
      <c r="A219" s="556"/>
      <c r="B219" s="132" t="s">
        <v>522</v>
      </c>
      <c r="C219" s="610"/>
      <c r="D219" s="610"/>
      <c r="E219" s="610"/>
      <c r="F219" s="610"/>
      <c r="G219" s="610"/>
      <c r="H219" s="610"/>
      <c r="I219" s="610"/>
      <c r="J219" s="610"/>
      <c r="K219" s="610"/>
      <c r="L219" s="610"/>
      <c r="M219" s="610"/>
      <c r="N219" s="610"/>
      <c r="O219" s="610"/>
      <c r="P219" s="610"/>
      <c r="Q219" s="610"/>
    </row>
    <row r="220" spans="1:17" s="136" customFormat="1" ht="11.25" customHeight="1" hidden="1">
      <c r="A220" s="556"/>
      <c r="B220" s="132" t="s">
        <v>523</v>
      </c>
      <c r="C220" s="610"/>
      <c r="D220" s="610"/>
      <c r="E220" s="610"/>
      <c r="F220" s="610"/>
      <c r="G220" s="610"/>
      <c r="H220" s="610"/>
      <c r="I220" s="610"/>
      <c r="J220" s="610"/>
      <c r="K220" s="610"/>
      <c r="L220" s="610"/>
      <c r="M220" s="610"/>
      <c r="N220" s="610"/>
      <c r="O220" s="610"/>
      <c r="P220" s="610"/>
      <c r="Q220" s="610"/>
    </row>
    <row r="221" spans="1:17" s="136" customFormat="1" ht="11.25" customHeight="1" hidden="1">
      <c r="A221" s="556"/>
      <c r="B221" s="132" t="s">
        <v>524</v>
      </c>
      <c r="C221" s="610"/>
      <c r="D221" s="610"/>
      <c r="E221" s="610"/>
      <c r="F221" s="610"/>
      <c r="G221" s="610"/>
      <c r="H221" s="610"/>
      <c r="I221" s="610"/>
      <c r="J221" s="610"/>
      <c r="K221" s="610"/>
      <c r="L221" s="610"/>
      <c r="M221" s="610"/>
      <c r="N221" s="610"/>
      <c r="O221" s="610"/>
      <c r="P221" s="610"/>
      <c r="Q221" s="610"/>
    </row>
    <row r="222" spans="1:17" s="136" customFormat="1" ht="12.75" hidden="1">
      <c r="A222" s="556"/>
      <c r="B222" s="263" t="s">
        <v>525</v>
      </c>
      <c r="C222" s="34"/>
      <c r="D222" s="138" t="s">
        <v>308</v>
      </c>
      <c r="E222" s="115">
        <f>E243</f>
        <v>0</v>
      </c>
      <c r="F222" s="115">
        <f aca="true" t="shared" si="56" ref="F222:Q222">F243</f>
        <v>0</v>
      </c>
      <c r="G222" s="115">
        <f t="shared" si="56"/>
        <v>0</v>
      </c>
      <c r="H222" s="115">
        <f t="shared" si="56"/>
        <v>0</v>
      </c>
      <c r="I222" s="115">
        <f t="shared" si="56"/>
        <v>0</v>
      </c>
      <c r="J222" s="115">
        <f t="shared" si="56"/>
        <v>0</v>
      </c>
      <c r="K222" s="115">
        <f t="shared" si="56"/>
        <v>0</v>
      </c>
      <c r="L222" s="115">
        <f t="shared" si="56"/>
        <v>0</v>
      </c>
      <c r="M222" s="115">
        <f t="shared" si="56"/>
        <v>0</v>
      </c>
      <c r="N222" s="115">
        <f t="shared" si="56"/>
        <v>0</v>
      </c>
      <c r="O222" s="115">
        <f t="shared" si="56"/>
        <v>0</v>
      </c>
      <c r="P222" s="115">
        <f t="shared" si="56"/>
        <v>0</v>
      </c>
      <c r="Q222" s="115">
        <f t="shared" si="56"/>
        <v>0</v>
      </c>
    </row>
    <row r="223" spans="1:17" s="136" customFormat="1" ht="22.5" hidden="1">
      <c r="A223" s="556"/>
      <c r="B223" s="77" t="s">
        <v>59</v>
      </c>
      <c r="C223" s="34"/>
      <c r="D223" s="252">
        <v>4118</v>
      </c>
      <c r="E223" s="115">
        <f aca="true" t="shared" si="57" ref="E223:E243">F223+G223</f>
        <v>0</v>
      </c>
      <c r="F223" s="115"/>
      <c r="G223" s="247">
        <f>Q223</f>
        <v>0</v>
      </c>
      <c r="H223" s="115">
        <f aca="true" t="shared" si="58" ref="H223:H238">I223+M223</f>
        <v>0</v>
      </c>
      <c r="I223" s="115">
        <f aca="true" t="shared" si="59" ref="I223:I238">SUM(J223:L223)</f>
        <v>0</v>
      </c>
      <c r="J223" s="115"/>
      <c r="K223" s="115"/>
      <c r="L223" s="115"/>
      <c r="M223" s="115">
        <f aca="true" t="shared" si="60" ref="M223:M238">SUM(N223:Q223)</f>
        <v>0</v>
      </c>
      <c r="N223" s="115"/>
      <c r="O223" s="115"/>
      <c r="P223" s="115"/>
      <c r="Q223" s="247"/>
    </row>
    <row r="224" spans="1:17" s="136" customFormat="1" ht="22.5" hidden="1">
      <c r="A224" s="556"/>
      <c r="B224" s="77" t="s">
        <v>59</v>
      </c>
      <c r="C224" s="34"/>
      <c r="D224" s="252">
        <v>4119</v>
      </c>
      <c r="E224" s="115">
        <f t="shared" si="57"/>
        <v>0</v>
      </c>
      <c r="F224" s="115">
        <f>L224</f>
        <v>0</v>
      </c>
      <c r="G224" s="247"/>
      <c r="H224" s="115">
        <f t="shared" si="58"/>
        <v>0</v>
      </c>
      <c r="I224" s="115">
        <f t="shared" si="59"/>
        <v>0</v>
      </c>
      <c r="J224" s="115"/>
      <c r="K224" s="115"/>
      <c r="L224" s="115"/>
      <c r="M224" s="115">
        <f t="shared" si="60"/>
        <v>0</v>
      </c>
      <c r="N224" s="115"/>
      <c r="O224" s="115"/>
      <c r="P224" s="115"/>
      <c r="Q224" s="247"/>
    </row>
    <row r="225" spans="1:17" s="136" customFormat="1" ht="12.75" hidden="1">
      <c r="A225" s="556"/>
      <c r="B225" s="77" t="s">
        <v>61</v>
      </c>
      <c r="C225" s="34"/>
      <c r="D225" s="252">
        <v>4128</v>
      </c>
      <c r="E225" s="115">
        <f t="shared" si="57"/>
        <v>0</v>
      </c>
      <c r="F225" s="115"/>
      <c r="G225" s="247">
        <f>Q225</f>
        <v>0</v>
      </c>
      <c r="H225" s="115">
        <f t="shared" si="58"/>
        <v>0</v>
      </c>
      <c r="I225" s="115">
        <f t="shared" si="59"/>
        <v>0</v>
      </c>
      <c r="J225" s="115"/>
      <c r="K225" s="115"/>
      <c r="L225" s="115"/>
      <c r="M225" s="115">
        <f t="shared" si="60"/>
        <v>0</v>
      </c>
      <c r="N225" s="115"/>
      <c r="O225" s="115"/>
      <c r="P225" s="115"/>
      <c r="Q225" s="247"/>
    </row>
    <row r="226" spans="1:17" s="136" customFormat="1" ht="12.75" hidden="1">
      <c r="A226" s="556"/>
      <c r="B226" s="77" t="s">
        <v>61</v>
      </c>
      <c r="C226" s="34"/>
      <c r="D226" s="252">
        <v>4129</v>
      </c>
      <c r="E226" s="115">
        <f t="shared" si="57"/>
        <v>0</v>
      </c>
      <c r="F226" s="115">
        <f>L226</f>
        <v>0</v>
      </c>
      <c r="G226" s="247"/>
      <c r="H226" s="115">
        <f t="shared" si="58"/>
        <v>0</v>
      </c>
      <c r="I226" s="115">
        <f t="shared" si="59"/>
        <v>0</v>
      </c>
      <c r="J226" s="115"/>
      <c r="K226" s="115"/>
      <c r="L226" s="115"/>
      <c r="M226" s="115">
        <f t="shared" si="60"/>
        <v>0</v>
      </c>
      <c r="N226" s="115"/>
      <c r="O226" s="115"/>
      <c r="P226" s="115"/>
      <c r="Q226" s="247"/>
    </row>
    <row r="227" spans="1:17" s="136" customFormat="1" ht="56.25" hidden="1">
      <c r="A227" s="556"/>
      <c r="B227" s="77" t="s">
        <v>257</v>
      </c>
      <c r="C227" s="34"/>
      <c r="D227" s="253">
        <v>2318</v>
      </c>
      <c r="E227" s="115">
        <f>F227+G227</f>
        <v>0</v>
      </c>
      <c r="F227" s="115"/>
      <c r="G227" s="247">
        <f>M227</f>
        <v>0</v>
      </c>
      <c r="H227" s="115">
        <f>I227+M227</f>
        <v>0</v>
      </c>
      <c r="I227" s="115">
        <f>SUM(J227:L227)</f>
        <v>0</v>
      </c>
      <c r="J227" s="115"/>
      <c r="K227" s="115"/>
      <c r="L227" s="115"/>
      <c r="M227" s="115">
        <f>SUM(N227:Q227)</f>
        <v>0</v>
      </c>
      <c r="N227" s="115"/>
      <c r="O227" s="115"/>
      <c r="P227" s="115"/>
      <c r="Q227" s="247"/>
    </row>
    <row r="228" spans="1:17" s="136" customFormat="1" ht="56.25" hidden="1">
      <c r="A228" s="556"/>
      <c r="B228" s="77" t="s">
        <v>258</v>
      </c>
      <c r="C228" s="34"/>
      <c r="D228" s="253">
        <v>2319</v>
      </c>
      <c r="E228" s="115">
        <f>F228+G228</f>
        <v>0</v>
      </c>
      <c r="F228" s="115">
        <f>H228</f>
        <v>0</v>
      </c>
      <c r="G228" s="247">
        <f>Q228</f>
        <v>0</v>
      </c>
      <c r="H228" s="115">
        <f>I228+M228</f>
        <v>0</v>
      </c>
      <c r="I228" s="115">
        <f>SUM(J228:L228)</f>
        <v>0</v>
      </c>
      <c r="J228" s="115"/>
      <c r="K228" s="115"/>
      <c r="L228" s="115"/>
      <c r="M228" s="115">
        <f>SUM(N228:Q228)</f>
        <v>0</v>
      </c>
      <c r="N228" s="115"/>
      <c r="O228" s="115"/>
      <c r="P228" s="115"/>
      <c r="Q228" s="247"/>
    </row>
    <row r="229" spans="1:17" s="136" customFormat="1" ht="56.25" hidden="1">
      <c r="A229" s="556"/>
      <c r="B229" s="77" t="s">
        <v>680</v>
      </c>
      <c r="C229" s="34"/>
      <c r="D229" s="253">
        <v>2328</v>
      </c>
      <c r="E229" s="115">
        <f>F229+G229</f>
        <v>0</v>
      </c>
      <c r="F229" s="115"/>
      <c r="G229" s="247">
        <f>Q229</f>
        <v>0</v>
      </c>
      <c r="H229" s="115">
        <f>I229+M229</f>
        <v>0</v>
      </c>
      <c r="I229" s="115">
        <f>SUM(J229:L229)</f>
        <v>0</v>
      </c>
      <c r="J229" s="115"/>
      <c r="K229" s="115"/>
      <c r="L229" s="115"/>
      <c r="M229" s="115">
        <f>SUM(N229:Q229)</f>
        <v>0</v>
      </c>
      <c r="N229" s="115"/>
      <c r="O229" s="115"/>
      <c r="P229" s="115"/>
      <c r="Q229" s="247"/>
    </row>
    <row r="230" spans="1:17" s="136" customFormat="1" ht="56.25" hidden="1">
      <c r="A230" s="556"/>
      <c r="B230" s="77" t="s">
        <v>680</v>
      </c>
      <c r="C230" s="34"/>
      <c r="D230" s="253">
        <v>2329</v>
      </c>
      <c r="E230" s="115">
        <f>F230+G230</f>
        <v>0</v>
      </c>
      <c r="F230" s="115">
        <f>L230</f>
        <v>0</v>
      </c>
      <c r="G230" s="247"/>
      <c r="H230" s="115">
        <f>I230+M230</f>
        <v>0</v>
      </c>
      <c r="I230" s="115">
        <f>SUM(J230:L230)</f>
        <v>0</v>
      </c>
      <c r="J230" s="115"/>
      <c r="K230" s="115"/>
      <c r="L230" s="115"/>
      <c r="M230" s="115">
        <f>SUM(N230:Q230)</f>
        <v>0</v>
      </c>
      <c r="N230" s="115"/>
      <c r="O230" s="115"/>
      <c r="P230" s="115"/>
      <c r="Q230" s="247"/>
    </row>
    <row r="231" spans="1:17" s="136" customFormat="1" ht="22.5" hidden="1">
      <c r="A231" s="556"/>
      <c r="B231" s="77" t="s">
        <v>21</v>
      </c>
      <c r="C231" s="34"/>
      <c r="D231" s="252">
        <v>4178</v>
      </c>
      <c r="E231" s="115">
        <f t="shared" si="57"/>
        <v>0</v>
      </c>
      <c r="F231" s="115"/>
      <c r="G231" s="247">
        <f>M231</f>
        <v>0</v>
      </c>
      <c r="H231" s="115">
        <f t="shared" si="58"/>
        <v>0</v>
      </c>
      <c r="I231" s="115">
        <f t="shared" si="59"/>
        <v>0</v>
      </c>
      <c r="J231" s="115"/>
      <c r="K231" s="115"/>
      <c r="L231" s="115"/>
      <c r="M231" s="115">
        <f t="shared" si="60"/>
        <v>0</v>
      </c>
      <c r="N231" s="115"/>
      <c r="O231" s="115"/>
      <c r="P231" s="115"/>
      <c r="Q231" s="247"/>
    </row>
    <row r="232" spans="1:17" s="136" customFormat="1" ht="22.5" hidden="1">
      <c r="A232" s="556"/>
      <c r="B232" s="77" t="s">
        <v>21</v>
      </c>
      <c r="C232" s="34"/>
      <c r="D232" s="252">
        <v>4179</v>
      </c>
      <c r="E232" s="115">
        <f t="shared" si="57"/>
        <v>0</v>
      </c>
      <c r="F232" s="115">
        <f>I232</f>
        <v>0</v>
      </c>
      <c r="G232" s="247"/>
      <c r="H232" s="115">
        <f t="shared" si="58"/>
        <v>0</v>
      </c>
      <c r="I232" s="115">
        <f t="shared" si="59"/>
        <v>0</v>
      </c>
      <c r="J232" s="115"/>
      <c r="K232" s="115"/>
      <c r="L232" s="115"/>
      <c r="M232" s="115">
        <f t="shared" si="60"/>
        <v>0</v>
      </c>
      <c r="N232" s="115"/>
      <c r="O232" s="115"/>
      <c r="P232" s="115"/>
      <c r="Q232" s="247"/>
    </row>
    <row r="233" spans="1:17" s="136" customFormat="1" ht="22.5" hidden="1">
      <c r="A233" s="556"/>
      <c r="B233" s="77" t="s">
        <v>658</v>
      </c>
      <c r="C233" s="34"/>
      <c r="D233" s="252">
        <v>4218</v>
      </c>
      <c r="E233" s="115">
        <f t="shared" si="57"/>
        <v>0</v>
      </c>
      <c r="F233" s="115"/>
      <c r="G233" s="247">
        <f>M233</f>
        <v>0</v>
      </c>
      <c r="H233" s="115">
        <f t="shared" si="58"/>
        <v>0</v>
      </c>
      <c r="I233" s="115">
        <f t="shared" si="59"/>
        <v>0</v>
      </c>
      <c r="J233" s="115"/>
      <c r="K233" s="115"/>
      <c r="L233" s="115"/>
      <c r="M233" s="115">
        <f t="shared" si="60"/>
        <v>0</v>
      </c>
      <c r="N233" s="115"/>
      <c r="O233" s="115"/>
      <c r="P233" s="115"/>
      <c r="Q233" s="247"/>
    </row>
    <row r="234" spans="1:17" s="136" customFormat="1" ht="22.5" hidden="1">
      <c r="A234" s="556"/>
      <c r="B234" s="77" t="s">
        <v>658</v>
      </c>
      <c r="C234" s="34"/>
      <c r="D234" s="252">
        <v>4219</v>
      </c>
      <c r="E234" s="115">
        <f t="shared" si="57"/>
        <v>0</v>
      </c>
      <c r="F234" s="115">
        <f>H234</f>
        <v>0</v>
      </c>
      <c r="G234" s="247"/>
      <c r="H234" s="115">
        <f t="shared" si="58"/>
        <v>0</v>
      </c>
      <c r="I234" s="115">
        <f t="shared" si="59"/>
        <v>0</v>
      </c>
      <c r="J234" s="115"/>
      <c r="K234" s="115"/>
      <c r="L234" s="115"/>
      <c r="M234" s="115">
        <f t="shared" si="60"/>
        <v>0</v>
      </c>
      <c r="N234" s="115"/>
      <c r="O234" s="115"/>
      <c r="P234" s="115"/>
      <c r="Q234" s="247"/>
    </row>
    <row r="235" spans="1:17" s="136" customFormat="1" ht="33.75" hidden="1">
      <c r="A235" s="556"/>
      <c r="B235" s="318" t="s">
        <v>64</v>
      </c>
      <c r="C235" s="34"/>
      <c r="D235" s="252">
        <v>4758</v>
      </c>
      <c r="E235" s="115">
        <f t="shared" si="57"/>
        <v>0</v>
      </c>
      <c r="F235" s="115"/>
      <c r="G235" s="247">
        <f>M235</f>
        <v>0</v>
      </c>
      <c r="H235" s="115">
        <f t="shared" si="58"/>
        <v>0</v>
      </c>
      <c r="I235" s="115">
        <f t="shared" si="59"/>
        <v>0</v>
      </c>
      <c r="J235" s="115"/>
      <c r="K235" s="115"/>
      <c r="L235" s="115"/>
      <c r="M235" s="115">
        <f t="shared" si="60"/>
        <v>0</v>
      </c>
      <c r="N235" s="115"/>
      <c r="O235" s="115"/>
      <c r="P235" s="115"/>
      <c r="Q235" s="247"/>
    </row>
    <row r="236" spans="1:17" s="136" customFormat="1" ht="33.75" hidden="1">
      <c r="A236" s="556"/>
      <c r="B236" s="318" t="s">
        <v>64</v>
      </c>
      <c r="C236" s="34"/>
      <c r="D236" s="252">
        <v>4759</v>
      </c>
      <c r="E236" s="115">
        <f t="shared" si="57"/>
        <v>0</v>
      </c>
      <c r="F236" s="115">
        <f>H236</f>
        <v>0</v>
      </c>
      <c r="G236" s="247"/>
      <c r="H236" s="115">
        <f t="shared" si="58"/>
        <v>0</v>
      </c>
      <c r="I236" s="115">
        <f t="shared" si="59"/>
        <v>0</v>
      </c>
      <c r="J236" s="115"/>
      <c r="K236" s="115"/>
      <c r="L236" s="115"/>
      <c r="M236" s="115">
        <f t="shared" si="60"/>
        <v>0</v>
      </c>
      <c r="N236" s="115"/>
      <c r="O236" s="115"/>
      <c r="P236" s="115"/>
      <c r="Q236" s="247"/>
    </row>
    <row r="237" spans="1:17" s="136" customFormat="1" ht="12.75" hidden="1">
      <c r="A237" s="556"/>
      <c r="B237" s="77" t="s">
        <v>641</v>
      </c>
      <c r="C237" s="34"/>
      <c r="D237" s="252">
        <v>4308</v>
      </c>
      <c r="E237" s="115">
        <f t="shared" si="57"/>
        <v>0</v>
      </c>
      <c r="F237" s="115"/>
      <c r="G237" s="247">
        <f>M237</f>
        <v>0</v>
      </c>
      <c r="H237" s="115">
        <f t="shared" si="58"/>
        <v>0</v>
      </c>
      <c r="I237" s="115">
        <f t="shared" si="59"/>
        <v>0</v>
      </c>
      <c r="J237" s="115"/>
      <c r="K237" s="115"/>
      <c r="L237" s="115"/>
      <c r="M237" s="115">
        <f t="shared" si="60"/>
        <v>0</v>
      </c>
      <c r="N237" s="115"/>
      <c r="O237" s="115"/>
      <c r="P237" s="115"/>
      <c r="Q237" s="247"/>
    </row>
    <row r="238" spans="1:17" s="136" customFormat="1" ht="12.75" hidden="1">
      <c r="A238" s="556"/>
      <c r="B238" s="77" t="s">
        <v>641</v>
      </c>
      <c r="C238" s="34"/>
      <c r="D238" s="252">
        <v>4309</v>
      </c>
      <c r="E238" s="115">
        <f t="shared" si="57"/>
        <v>0</v>
      </c>
      <c r="F238" s="115">
        <f>H238</f>
        <v>0</v>
      </c>
      <c r="G238" s="247"/>
      <c r="H238" s="115">
        <f t="shared" si="58"/>
        <v>0</v>
      </c>
      <c r="I238" s="115">
        <f t="shared" si="59"/>
        <v>0</v>
      </c>
      <c r="J238" s="115"/>
      <c r="K238" s="115"/>
      <c r="L238" s="115"/>
      <c r="M238" s="115">
        <f t="shared" si="60"/>
        <v>0</v>
      </c>
      <c r="N238" s="115"/>
      <c r="O238" s="115"/>
      <c r="P238" s="115"/>
      <c r="Q238" s="247"/>
    </row>
    <row r="239" spans="1:17" s="136" customFormat="1" ht="22.5" hidden="1">
      <c r="A239" s="556"/>
      <c r="B239" s="77" t="s">
        <v>667</v>
      </c>
      <c r="C239" s="34"/>
      <c r="D239" s="252">
        <v>4418</v>
      </c>
      <c r="E239" s="115">
        <f>F239+G239</f>
        <v>0</v>
      </c>
      <c r="F239" s="115"/>
      <c r="G239" s="247">
        <f>M239</f>
        <v>0</v>
      </c>
      <c r="H239" s="115">
        <f>I239+M239</f>
        <v>0</v>
      </c>
      <c r="I239" s="115">
        <f>SUM(J239:L239)</f>
        <v>0</v>
      </c>
      <c r="J239" s="115"/>
      <c r="K239" s="115"/>
      <c r="L239" s="115"/>
      <c r="M239" s="115">
        <f>SUM(N239:Q239)</f>
        <v>0</v>
      </c>
      <c r="N239" s="115"/>
      <c r="O239" s="115"/>
      <c r="P239" s="115"/>
      <c r="Q239" s="247"/>
    </row>
    <row r="240" spans="1:17" s="136" customFormat="1" ht="22.5" hidden="1">
      <c r="A240" s="556"/>
      <c r="B240" s="77" t="s">
        <v>667</v>
      </c>
      <c r="C240" s="34"/>
      <c r="D240" s="252">
        <v>4419</v>
      </c>
      <c r="E240" s="115">
        <f>F240+G240</f>
        <v>0</v>
      </c>
      <c r="F240" s="115">
        <f>H240</f>
        <v>0</v>
      </c>
      <c r="G240" s="247"/>
      <c r="H240" s="115">
        <f>I240+M240</f>
        <v>0</v>
      </c>
      <c r="I240" s="115">
        <f>SUM(J240:L240)</f>
        <v>0</v>
      </c>
      <c r="J240" s="115"/>
      <c r="K240" s="115"/>
      <c r="L240" s="115"/>
      <c r="M240" s="115">
        <f>SUM(N240:Q240)</f>
        <v>0</v>
      </c>
      <c r="N240" s="115"/>
      <c r="O240" s="115"/>
      <c r="P240" s="115"/>
      <c r="Q240" s="247"/>
    </row>
    <row r="241" spans="1:17" s="136" customFormat="1" ht="45" hidden="1">
      <c r="A241" s="556"/>
      <c r="B241" s="324" t="s">
        <v>24</v>
      </c>
      <c r="C241" s="34"/>
      <c r="D241" s="252">
        <v>4748</v>
      </c>
      <c r="E241" s="115">
        <f t="shared" si="57"/>
        <v>0</v>
      </c>
      <c r="F241" s="115"/>
      <c r="G241" s="247">
        <f>M241</f>
        <v>0</v>
      </c>
      <c r="H241" s="115">
        <f>I241+M241</f>
        <v>0</v>
      </c>
      <c r="I241" s="115">
        <f>SUM(J241:L241)</f>
        <v>0</v>
      </c>
      <c r="J241" s="115"/>
      <c r="K241" s="115"/>
      <c r="L241" s="115"/>
      <c r="M241" s="115">
        <f>SUM(N241:Q241)</f>
        <v>0</v>
      </c>
      <c r="N241" s="115"/>
      <c r="O241" s="115"/>
      <c r="P241" s="115"/>
      <c r="Q241" s="247"/>
    </row>
    <row r="242" spans="1:17" s="136" customFormat="1" ht="45" hidden="1">
      <c r="A242" s="556"/>
      <c r="B242" s="324" t="s">
        <v>24</v>
      </c>
      <c r="C242" s="34"/>
      <c r="D242" s="252">
        <v>4749</v>
      </c>
      <c r="E242" s="115">
        <f t="shared" si="57"/>
        <v>0</v>
      </c>
      <c r="F242" s="115">
        <f>H242</f>
        <v>0</v>
      </c>
      <c r="G242" s="247"/>
      <c r="H242" s="115">
        <f>I242+M242</f>
        <v>0</v>
      </c>
      <c r="I242" s="115">
        <f>SUM(J242:L242)</f>
        <v>0</v>
      </c>
      <c r="J242" s="115"/>
      <c r="K242" s="115"/>
      <c r="L242" s="115"/>
      <c r="M242" s="115">
        <f>SUM(N242:Q242)</f>
        <v>0</v>
      </c>
      <c r="N242" s="115"/>
      <c r="O242" s="115"/>
      <c r="P242" s="115"/>
      <c r="Q242" s="247"/>
    </row>
    <row r="243" spans="1:19" s="136" customFormat="1" ht="11.25" hidden="1">
      <c r="A243" s="556"/>
      <c r="B243" s="132">
        <v>2009</v>
      </c>
      <c r="C243" s="134"/>
      <c r="D243" s="134"/>
      <c r="E243" s="133">
        <f t="shared" si="57"/>
        <v>0</v>
      </c>
      <c r="F243" s="133">
        <f>SUM(F223:F242)</f>
        <v>0</v>
      </c>
      <c r="G243" s="133">
        <f>SUM(G223:G242)</f>
        <v>0</v>
      </c>
      <c r="H243" s="133">
        <f>I243+M243</f>
        <v>0</v>
      </c>
      <c r="I243" s="133">
        <f>SUM(I223:I242)</f>
        <v>0</v>
      </c>
      <c r="J243" s="133">
        <f>SUM(J223:J242)</f>
        <v>0</v>
      </c>
      <c r="K243" s="133">
        <f>SUM(K223:K242)</f>
        <v>0</v>
      </c>
      <c r="L243" s="133">
        <f>SUM(L223:L242)</f>
        <v>0</v>
      </c>
      <c r="M243" s="133">
        <f>N243+O243+P243+Q243</f>
        <v>0</v>
      </c>
      <c r="N243" s="133">
        <f>SUM(N223:N242)</f>
        <v>0</v>
      </c>
      <c r="O243" s="133">
        <f>SUM(O223:O242)</f>
        <v>0</v>
      </c>
      <c r="P243" s="133">
        <f>SUM(P223:P242)</f>
        <v>0</v>
      </c>
      <c r="Q243" s="133">
        <f>SUM(Q223:Q242)</f>
        <v>0</v>
      </c>
      <c r="S243" s="317"/>
    </row>
    <row r="244" spans="1:17" ht="15.75" customHeight="1" hidden="1">
      <c r="A244" s="556" t="s">
        <v>331</v>
      </c>
      <c r="B244" s="132" t="s">
        <v>521</v>
      </c>
      <c r="C244" s="610" t="s">
        <v>340</v>
      </c>
      <c r="D244" s="610"/>
      <c r="E244" s="610"/>
      <c r="F244" s="610"/>
      <c r="G244" s="610"/>
      <c r="H244" s="610"/>
      <c r="I244" s="610"/>
      <c r="J244" s="610"/>
      <c r="K244" s="610"/>
      <c r="L244" s="610"/>
      <c r="M244" s="610"/>
      <c r="N244" s="610"/>
      <c r="O244" s="610"/>
      <c r="P244" s="610"/>
      <c r="Q244" s="610"/>
    </row>
    <row r="245" spans="1:17" ht="12.75" customHeight="1" hidden="1">
      <c r="A245" s="556"/>
      <c r="B245" s="132" t="s">
        <v>522</v>
      </c>
      <c r="C245" s="610"/>
      <c r="D245" s="610"/>
      <c r="E245" s="610"/>
      <c r="F245" s="610"/>
      <c r="G245" s="610"/>
      <c r="H245" s="610"/>
      <c r="I245" s="610"/>
      <c r="J245" s="610"/>
      <c r="K245" s="610"/>
      <c r="L245" s="610"/>
      <c r="M245" s="610"/>
      <c r="N245" s="610"/>
      <c r="O245" s="610"/>
      <c r="P245" s="610"/>
      <c r="Q245" s="610"/>
    </row>
    <row r="246" spans="1:17" ht="12.75" customHeight="1" hidden="1">
      <c r="A246" s="556"/>
      <c r="B246" s="132" t="s">
        <v>523</v>
      </c>
      <c r="C246" s="610"/>
      <c r="D246" s="610"/>
      <c r="E246" s="610"/>
      <c r="F246" s="610"/>
      <c r="G246" s="610"/>
      <c r="H246" s="610"/>
      <c r="I246" s="610"/>
      <c r="J246" s="610"/>
      <c r="K246" s="610"/>
      <c r="L246" s="610"/>
      <c r="M246" s="610"/>
      <c r="N246" s="610"/>
      <c r="O246" s="610"/>
      <c r="P246" s="610"/>
      <c r="Q246" s="610"/>
    </row>
    <row r="247" spans="1:17" ht="12.75" customHeight="1" hidden="1">
      <c r="A247" s="556"/>
      <c r="B247" s="132" t="s">
        <v>524</v>
      </c>
      <c r="C247" s="610"/>
      <c r="D247" s="610"/>
      <c r="E247" s="610"/>
      <c r="F247" s="610"/>
      <c r="G247" s="610"/>
      <c r="H247" s="610"/>
      <c r="I247" s="610"/>
      <c r="J247" s="610"/>
      <c r="K247" s="610"/>
      <c r="L247" s="610"/>
      <c r="M247" s="610"/>
      <c r="N247" s="610"/>
      <c r="O247" s="610"/>
      <c r="P247" s="610"/>
      <c r="Q247" s="610"/>
    </row>
    <row r="248" spans="1:17" s="137" customFormat="1" ht="12.75" hidden="1">
      <c r="A248" s="556"/>
      <c r="B248" s="263" t="s">
        <v>525</v>
      </c>
      <c r="C248" s="34"/>
      <c r="D248" s="138" t="s">
        <v>684</v>
      </c>
      <c r="E248" s="115">
        <f>E276</f>
        <v>0</v>
      </c>
      <c r="F248" s="115">
        <f aca="true" t="shared" si="61" ref="F248:Q248">F276</f>
        <v>0</v>
      </c>
      <c r="G248" s="115">
        <f t="shared" si="61"/>
        <v>0</v>
      </c>
      <c r="H248" s="115">
        <f t="shared" si="61"/>
        <v>0</v>
      </c>
      <c r="I248" s="115">
        <f t="shared" si="61"/>
        <v>0</v>
      </c>
      <c r="J248" s="115">
        <f t="shared" si="61"/>
        <v>0</v>
      </c>
      <c r="K248" s="115">
        <f t="shared" si="61"/>
        <v>0</v>
      </c>
      <c r="L248" s="115">
        <f t="shared" si="61"/>
        <v>0</v>
      </c>
      <c r="M248" s="115">
        <f t="shared" si="61"/>
        <v>0</v>
      </c>
      <c r="N248" s="115">
        <f t="shared" si="61"/>
        <v>0</v>
      </c>
      <c r="O248" s="115">
        <f t="shared" si="61"/>
        <v>0</v>
      </c>
      <c r="P248" s="115">
        <f t="shared" si="61"/>
        <v>0</v>
      </c>
      <c r="Q248" s="115">
        <f t="shared" si="61"/>
        <v>0</v>
      </c>
    </row>
    <row r="249" spans="1:17" s="137" customFormat="1" ht="12.75" customHeight="1" hidden="1">
      <c r="A249" s="556"/>
      <c r="B249" s="132" t="s">
        <v>394</v>
      </c>
      <c r="C249" s="34"/>
      <c r="D249" s="138" t="s">
        <v>402</v>
      </c>
      <c r="E249" s="115"/>
      <c r="F249" s="115"/>
      <c r="G249" s="115"/>
      <c r="H249" s="115"/>
      <c r="I249" s="115"/>
      <c r="J249" s="115"/>
      <c r="K249" s="115"/>
      <c r="L249" s="115"/>
      <c r="M249" s="115"/>
      <c r="N249" s="115"/>
      <c r="O249" s="115"/>
      <c r="P249" s="115"/>
      <c r="Q249" s="115">
        <f>'[1]2'!G722</f>
        <v>0</v>
      </c>
    </row>
    <row r="250" spans="1:17" s="137" customFormat="1" ht="22.5" customHeight="1" hidden="1">
      <c r="A250" s="556"/>
      <c r="B250" s="132" t="s">
        <v>395</v>
      </c>
      <c r="C250" s="34"/>
      <c r="D250" s="138" t="s">
        <v>403</v>
      </c>
      <c r="E250" s="115"/>
      <c r="F250" s="115"/>
      <c r="G250" s="115"/>
      <c r="H250" s="115"/>
      <c r="I250" s="115"/>
      <c r="J250" s="115"/>
      <c r="K250" s="115"/>
      <c r="L250" s="115"/>
      <c r="M250" s="115"/>
      <c r="N250" s="115"/>
      <c r="O250" s="115"/>
      <c r="P250" s="115"/>
      <c r="Q250" s="115"/>
    </row>
    <row r="251" spans="1:17" s="137" customFormat="1" ht="12.75" customHeight="1" hidden="1">
      <c r="A251" s="556"/>
      <c r="B251" s="132" t="s">
        <v>396</v>
      </c>
      <c r="C251" s="34"/>
      <c r="D251" s="138" t="s">
        <v>404</v>
      </c>
      <c r="E251" s="115"/>
      <c r="F251" s="115"/>
      <c r="G251" s="115"/>
      <c r="H251" s="115"/>
      <c r="I251" s="115"/>
      <c r="J251" s="115"/>
      <c r="K251" s="115"/>
      <c r="L251" s="115"/>
      <c r="M251" s="115"/>
      <c r="N251" s="115"/>
      <c r="O251" s="115"/>
      <c r="P251" s="115"/>
      <c r="Q251" s="115"/>
    </row>
    <row r="252" spans="1:17" s="137" customFormat="1" ht="22.5" customHeight="1" hidden="1">
      <c r="A252" s="556"/>
      <c r="B252" s="132" t="s">
        <v>397</v>
      </c>
      <c r="C252" s="34"/>
      <c r="D252" s="138" t="s">
        <v>405</v>
      </c>
      <c r="E252" s="115"/>
      <c r="F252" s="115"/>
      <c r="G252" s="115"/>
      <c r="H252" s="115"/>
      <c r="I252" s="115"/>
      <c r="J252" s="115"/>
      <c r="K252" s="115"/>
      <c r="L252" s="115"/>
      <c r="M252" s="115"/>
      <c r="N252" s="115"/>
      <c r="O252" s="115"/>
      <c r="P252" s="115"/>
      <c r="Q252" s="115"/>
    </row>
    <row r="253" spans="1:17" s="137" customFormat="1" ht="22.5" customHeight="1" hidden="1">
      <c r="A253" s="556"/>
      <c r="B253" s="132" t="s">
        <v>254</v>
      </c>
      <c r="C253" s="34"/>
      <c r="D253" s="138" t="s">
        <v>253</v>
      </c>
      <c r="E253" s="115"/>
      <c r="F253" s="115"/>
      <c r="G253" s="115"/>
      <c r="H253" s="115"/>
      <c r="I253" s="115"/>
      <c r="J253" s="115"/>
      <c r="K253" s="115"/>
      <c r="L253" s="115"/>
      <c r="M253" s="115"/>
      <c r="N253" s="115"/>
      <c r="O253" s="115"/>
      <c r="P253" s="115"/>
      <c r="Q253" s="115"/>
    </row>
    <row r="254" spans="1:17" s="137" customFormat="1" ht="33.75" customHeight="1" hidden="1">
      <c r="A254" s="556"/>
      <c r="B254" s="132" t="s">
        <v>398</v>
      </c>
      <c r="C254" s="34"/>
      <c r="D254" s="138" t="s">
        <v>406</v>
      </c>
      <c r="E254" s="115"/>
      <c r="F254" s="115"/>
      <c r="G254" s="115"/>
      <c r="H254" s="115"/>
      <c r="I254" s="115"/>
      <c r="J254" s="115"/>
      <c r="K254" s="115"/>
      <c r="L254" s="115"/>
      <c r="M254" s="115"/>
      <c r="N254" s="115"/>
      <c r="O254" s="115"/>
      <c r="P254" s="115"/>
      <c r="Q254" s="115">
        <f>'[1]2'!L749</f>
        <v>0</v>
      </c>
    </row>
    <row r="255" spans="1:17" s="137" customFormat="1" ht="12.75" customHeight="1" hidden="1">
      <c r="A255" s="556"/>
      <c r="B255" s="263"/>
      <c r="C255" s="34"/>
      <c r="D255" s="138"/>
      <c r="E255" s="115"/>
      <c r="F255" s="135"/>
      <c r="G255" s="135"/>
      <c r="H255" s="131"/>
      <c r="I255" s="34"/>
      <c r="J255" s="135"/>
      <c r="K255" s="135"/>
      <c r="L255" s="135"/>
      <c r="M255" s="34"/>
      <c r="N255" s="135"/>
      <c r="O255" s="135"/>
      <c r="P255" s="135"/>
      <c r="Q255" s="135"/>
    </row>
    <row r="256" spans="1:17" s="136" customFormat="1" ht="22.5" hidden="1">
      <c r="A256" s="556"/>
      <c r="B256" s="77" t="s">
        <v>59</v>
      </c>
      <c r="C256" s="34"/>
      <c r="D256" s="252">
        <v>4118</v>
      </c>
      <c r="E256" s="115">
        <f aca="true" t="shared" si="62" ref="E256:E261">F256+G256</f>
        <v>0</v>
      </c>
      <c r="F256" s="115"/>
      <c r="G256" s="247">
        <f>Q256</f>
        <v>0</v>
      </c>
      <c r="H256" s="115">
        <f aca="true" t="shared" si="63" ref="H256:H261">I256+M256</f>
        <v>0</v>
      </c>
      <c r="I256" s="115">
        <f aca="true" t="shared" si="64" ref="I256:I261">SUM(J256:L256)</f>
        <v>0</v>
      </c>
      <c r="J256" s="115"/>
      <c r="K256" s="115"/>
      <c r="L256" s="115"/>
      <c r="M256" s="115">
        <f aca="true" t="shared" si="65" ref="M256:M261">SUM(N256:Q256)</f>
        <v>0</v>
      </c>
      <c r="N256" s="115"/>
      <c r="O256" s="115"/>
      <c r="P256" s="115"/>
      <c r="Q256" s="247"/>
    </row>
    <row r="257" spans="1:17" s="136" customFormat="1" ht="22.5" hidden="1">
      <c r="A257" s="556"/>
      <c r="B257" s="77" t="s">
        <v>59</v>
      </c>
      <c r="C257" s="34"/>
      <c r="D257" s="252">
        <v>4119</v>
      </c>
      <c r="E257" s="115">
        <f t="shared" si="62"/>
        <v>0</v>
      </c>
      <c r="F257" s="115">
        <f>L257</f>
        <v>0</v>
      </c>
      <c r="G257" s="247"/>
      <c r="H257" s="115">
        <f t="shared" si="63"/>
        <v>0</v>
      </c>
      <c r="I257" s="115">
        <f t="shared" si="64"/>
        <v>0</v>
      </c>
      <c r="J257" s="115"/>
      <c r="K257" s="115"/>
      <c r="L257" s="115"/>
      <c r="M257" s="115">
        <f t="shared" si="65"/>
        <v>0</v>
      </c>
      <c r="N257" s="115"/>
      <c r="O257" s="115"/>
      <c r="P257" s="115"/>
      <c r="Q257" s="247"/>
    </row>
    <row r="258" spans="1:17" s="136" customFormat="1" ht="12.75" hidden="1">
      <c r="A258" s="556"/>
      <c r="B258" s="77" t="s">
        <v>61</v>
      </c>
      <c r="C258" s="34"/>
      <c r="D258" s="252">
        <v>4128</v>
      </c>
      <c r="E258" s="115">
        <f t="shared" si="62"/>
        <v>0</v>
      </c>
      <c r="F258" s="115"/>
      <c r="G258" s="247">
        <f>Q258</f>
        <v>0</v>
      </c>
      <c r="H258" s="115">
        <f t="shared" si="63"/>
        <v>0</v>
      </c>
      <c r="I258" s="115">
        <f t="shared" si="64"/>
        <v>0</v>
      </c>
      <c r="J258" s="115"/>
      <c r="K258" s="115"/>
      <c r="L258" s="115"/>
      <c r="M258" s="115">
        <f t="shared" si="65"/>
        <v>0</v>
      </c>
      <c r="N258" s="115"/>
      <c r="O258" s="115"/>
      <c r="P258" s="115"/>
      <c r="Q258" s="247"/>
    </row>
    <row r="259" spans="1:17" s="136" customFormat="1" ht="12.75" hidden="1">
      <c r="A259" s="556"/>
      <c r="B259" s="77" t="s">
        <v>61</v>
      </c>
      <c r="C259" s="34"/>
      <c r="D259" s="252">
        <v>4129</v>
      </c>
      <c r="E259" s="115">
        <f t="shared" si="62"/>
        <v>0</v>
      </c>
      <c r="F259" s="115">
        <f>L259</f>
        <v>0</v>
      </c>
      <c r="G259" s="247"/>
      <c r="H259" s="115">
        <f t="shared" si="63"/>
        <v>0</v>
      </c>
      <c r="I259" s="115">
        <f t="shared" si="64"/>
        <v>0</v>
      </c>
      <c r="J259" s="115"/>
      <c r="K259" s="115"/>
      <c r="L259" s="115"/>
      <c r="M259" s="115">
        <f t="shared" si="65"/>
        <v>0</v>
      </c>
      <c r="N259" s="115"/>
      <c r="O259" s="115"/>
      <c r="P259" s="115"/>
      <c r="Q259" s="247"/>
    </row>
    <row r="260" spans="1:17" s="136" customFormat="1" ht="22.5" hidden="1">
      <c r="A260" s="556"/>
      <c r="B260" s="77" t="s">
        <v>339</v>
      </c>
      <c r="C260" s="34"/>
      <c r="D260" s="252">
        <v>4018</v>
      </c>
      <c r="E260" s="115">
        <f t="shared" si="62"/>
        <v>0</v>
      </c>
      <c r="F260" s="115"/>
      <c r="G260" s="247">
        <f>M260</f>
        <v>0</v>
      </c>
      <c r="H260" s="115">
        <f t="shared" si="63"/>
        <v>0</v>
      </c>
      <c r="I260" s="115">
        <f t="shared" si="64"/>
        <v>0</v>
      </c>
      <c r="J260" s="115"/>
      <c r="K260" s="115"/>
      <c r="L260" s="115"/>
      <c r="M260" s="115">
        <f t="shared" si="65"/>
        <v>0</v>
      </c>
      <c r="N260" s="115"/>
      <c r="O260" s="115"/>
      <c r="P260" s="115"/>
      <c r="Q260" s="247"/>
    </row>
    <row r="261" spans="1:17" s="136" customFormat="1" ht="22.5" hidden="1">
      <c r="A261" s="556"/>
      <c r="B261" s="77" t="s">
        <v>339</v>
      </c>
      <c r="C261" s="34"/>
      <c r="D261" s="252">
        <v>4019</v>
      </c>
      <c r="E261" s="115">
        <f t="shared" si="62"/>
        <v>0</v>
      </c>
      <c r="F261" s="115">
        <f>I261</f>
        <v>0</v>
      </c>
      <c r="G261" s="247"/>
      <c r="H261" s="115">
        <f t="shared" si="63"/>
        <v>0</v>
      </c>
      <c r="I261" s="115">
        <f t="shared" si="64"/>
        <v>0</v>
      </c>
      <c r="J261" s="115"/>
      <c r="K261" s="115"/>
      <c r="L261" s="115"/>
      <c r="M261" s="115">
        <f t="shared" si="65"/>
        <v>0</v>
      </c>
      <c r="N261" s="115"/>
      <c r="O261" s="115"/>
      <c r="P261" s="115"/>
      <c r="Q261" s="247"/>
    </row>
    <row r="262" spans="1:17" s="136" customFormat="1" ht="12.75" hidden="1">
      <c r="A262" s="556"/>
      <c r="B262" s="77" t="s">
        <v>341</v>
      </c>
      <c r="C262" s="34"/>
      <c r="D262" s="253">
        <v>3118</v>
      </c>
      <c r="E262" s="115">
        <f>F262+G262</f>
        <v>0</v>
      </c>
      <c r="F262" s="115"/>
      <c r="G262" s="247">
        <f>Q262</f>
        <v>0</v>
      </c>
      <c r="H262" s="115">
        <f>I262+M262</f>
        <v>0</v>
      </c>
      <c r="I262" s="115">
        <f>SUM(J262:L262)</f>
        <v>0</v>
      </c>
      <c r="J262" s="115"/>
      <c r="K262" s="115"/>
      <c r="L262" s="115"/>
      <c r="M262" s="115">
        <f>SUM(N262:Q262)</f>
        <v>0</v>
      </c>
      <c r="N262" s="115"/>
      <c r="O262" s="115"/>
      <c r="P262" s="115"/>
      <c r="Q262" s="247"/>
    </row>
    <row r="263" spans="1:17" s="136" customFormat="1" ht="12.75" hidden="1">
      <c r="A263" s="556"/>
      <c r="B263" s="77" t="s">
        <v>341</v>
      </c>
      <c r="C263" s="34"/>
      <c r="D263" s="253">
        <v>3119</v>
      </c>
      <c r="E263" s="115">
        <f>F263+G263</f>
        <v>0</v>
      </c>
      <c r="F263" s="115">
        <f>L263</f>
        <v>0</v>
      </c>
      <c r="G263" s="247"/>
      <c r="H263" s="115">
        <f>I263+M263</f>
        <v>0</v>
      </c>
      <c r="I263" s="115">
        <f>SUM(J263:L263)</f>
        <v>0</v>
      </c>
      <c r="J263" s="115"/>
      <c r="K263" s="115"/>
      <c r="L263" s="115"/>
      <c r="M263" s="115">
        <f>SUM(N263:Q263)</f>
        <v>0</v>
      </c>
      <c r="N263" s="115"/>
      <c r="O263" s="115"/>
      <c r="P263" s="115"/>
      <c r="Q263" s="247"/>
    </row>
    <row r="264" spans="1:17" s="136" customFormat="1" ht="56.25" hidden="1">
      <c r="A264" s="556"/>
      <c r="B264" s="77" t="s">
        <v>344</v>
      </c>
      <c r="C264" s="34"/>
      <c r="D264" s="252">
        <v>4408</v>
      </c>
      <c r="E264" s="115">
        <f aca="true" t="shared" si="66" ref="E264:E271">F264+G264</f>
        <v>0</v>
      </c>
      <c r="F264" s="115"/>
      <c r="G264" s="247">
        <f>M264</f>
        <v>0</v>
      </c>
      <c r="H264" s="115">
        <f aca="true" t="shared" si="67" ref="H264:H271">I264+M264</f>
        <v>0</v>
      </c>
      <c r="I264" s="115">
        <f aca="true" t="shared" si="68" ref="I264:I271">SUM(J264:L264)</f>
        <v>0</v>
      </c>
      <c r="J264" s="115"/>
      <c r="K264" s="115"/>
      <c r="L264" s="115"/>
      <c r="M264" s="115">
        <f aca="true" t="shared" si="69" ref="M264:M271">SUM(N264:Q264)</f>
        <v>0</v>
      </c>
      <c r="N264" s="115"/>
      <c r="O264" s="115"/>
      <c r="P264" s="115"/>
      <c r="Q264" s="247"/>
    </row>
    <row r="265" spans="1:17" s="136" customFormat="1" ht="56.25" hidden="1">
      <c r="A265" s="556"/>
      <c r="B265" s="77" t="s">
        <v>344</v>
      </c>
      <c r="C265" s="34"/>
      <c r="D265" s="252">
        <v>4409</v>
      </c>
      <c r="E265" s="115">
        <f t="shared" si="66"/>
        <v>0</v>
      </c>
      <c r="F265" s="115">
        <f>I265</f>
        <v>0</v>
      </c>
      <c r="G265" s="247"/>
      <c r="H265" s="115">
        <f t="shared" si="67"/>
        <v>0</v>
      </c>
      <c r="I265" s="115">
        <f t="shared" si="68"/>
        <v>0</v>
      </c>
      <c r="J265" s="115"/>
      <c r="K265" s="115"/>
      <c r="L265" s="115"/>
      <c r="M265" s="115">
        <f t="shared" si="69"/>
        <v>0</v>
      </c>
      <c r="N265" s="115"/>
      <c r="O265" s="115"/>
      <c r="P265" s="115"/>
      <c r="Q265" s="247"/>
    </row>
    <row r="266" spans="1:17" s="136" customFormat="1" ht="22.5" hidden="1">
      <c r="A266" s="556"/>
      <c r="B266" s="77" t="s">
        <v>658</v>
      </c>
      <c r="C266" s="34"/>
      <c r="D266" s="252">
        <v>4218</v>
      </c>
      <c r="E266" s="115">
        <f t="shared" si="66"/>
        <v>0</v>
      </c>
      <c r="F266" s="115"/>
      <c r="G266" s="247">
        <f>M266</f>
        <v>0</v>
      </c>
      <c r="H266" s="115">
        <f t="shared" si="67"/>
        <v>0</v>
      </c>
      <c r="I266" s="115">
        <f t="shared" si="68"/>
        <v>0</v>
      </c>
      <c r="J266" s="115"/>
      <c r="K266" s="115"/>
      <c r="L266" s="115"/>
      <c r="M266" s="115">
        <f t="shared" si="69"/>
        <v>0</v>
      </c>
      <c r="N266" s="115"/>
      <c r="O266" s="115"/>
      <c r="P266" s="115"/>
      <c r="Q266" s="247"/>
    </row>
    <row r="267" spans="1:17" s="136" customFormat="1" ht="22.5" hidden="1">
      <c r="A267" s="556"/>
      <c r="B267" s="77" t="s">
        <v>658</v>
      </c>
      <c r="C267" s="34"/>
      <c r="D267" s="252">
        <v>4219</v>
      </c>
      <c r="E267" s="115">
        <f t="shared" si="66"/>
        <v>0</v>
      </c>
      <c r="F267" s="115">
        <f>H267</f>
        <v>0</v>
      </c>
      <c r="G267" s="247"/>
      <c r="H267" s="115">
        <f t="shared" si="67"/>
        <v>0</v>
      </c>
      <c r="I267" s="115">
        <f t="shared" si="68"/>
        <v>0</v>
      </c>
      <c r="J267" s="115"/>
      <c r="K267" s="115"/>
      <c r="L267" s="115"/>
      <c r="M267" s="115">
        <f t="shared" si="69"/>
        <v>0</v>
      </c>
      <c r="N267" s="115"/>
      <c r="O267" s="115"/>
      <c r="P267" s="115"/>
      <c r="Q267" s="247"/>
    </row>
    <row r="268" spans="1:17" s="136" customFormat="1" ht="33.75" hidden="1">
      <c r="A268" s="556"/>
      <c r="B268" s="318" t="s">
        <v>64</v>
      </c>
      <c r="C268" s="34"/>
      <c r="D268" s="252">
        <v>4758</v>
      </c>
      <c r="E268" s="115">
        <f t="shared" si="66"/>
        <v>0</v>
      </c>
      <c r="F268" s="115"/>
      <c r="G268" s="247">
        <f>M268</f>
        <v>0</v>
      </c>
      <c r="H268" s="115">
        <f t="shared" si="67"/>
        <v>0</v>
      </c>
      <c r="I268" s="115">
        <f t="shared" si="68"/>
        <v>0</v>
      </c>
      <c r="J268" s="115"/>
      <c r="K268" s="115"/>
      <c r="L268" s="115"/>
      <c r="M268" s="115">
        <f t="shared" si="69"/>
        <v>0</v>
      </c>
      <c r="N268" s="115"/>
      <c r="O268" s="115"/>
      <c r="P268" s="115"/>
      <c r="Q268" s="247"/>
    </row>
    <row r="269" spans="1:17" s="136" customFormat="1" ht="33.75" hidden="1">
      <c r="A269" s="556"/>
      <c r="B269" s="318" t="s">
        <v>64</v>
      </c>
      <c r="C269" s="34"/>
      <c r="D269" s="252">
        <v>4759</v>
      </c>
      <c r="E269" s="115">
        <f t="shared" si="66"/>
        <v>0</v>
      </c>
      <c r="F269" s="115">
        <f>H269</f>
        <v>0</v>
      </c>
      <c r="G269" s="247"/>
      <c r="H269" s="115">
        <f t="shared" si="67"/>
        <v>0</v>
      </c>
      <c r="I269" s="115">
        <f t="shared" si="68"/>
        <v>0</v>
      </c>
      <c r="J269" s="115"/>
      <c r="K269" s="115"/>
      <c r="L269" s="115"/>
      <c r="M269" s="115">
        <f t="shared" si="69"/>
        <v>0</v>
      </c>
      <c r="N269" s="115"/>
      <c r="O269" s="115"/>
      <c r="P269" s="115"/>
      <c r="Q269" s="247"/>
    </row>
    <row r="270" spans="1:17" s="136" customFormat="1" ht="12.75" hidden="1">
      <c r="A270" s="556"/>
      <c r="B270" s="77" t="s">
        <v>641</v>
      </c>
      <c r="C270" s="34"/>
      <c r="D270" s="252">
        <v>4308</v>
      </c>
      <c r="E270" s="115">
        <f t="shared" si="66"/>
        <v>0</v>
      </c>
      <c r="F270" s="115"/>
      <c r="G270" s="247">
        <f>M270</f>
        <v>0</v>
      </c>
      <c r="H270" s="115">
        <f t="shared" si="67"/>
        <v>0</v>
      </c>
      <c r="I270" s="115">
        <f t="shared" si="68"/>
        <v>0</v>
      </c>
      <c r="J270" s="115"/>
      <c r="K270" s="115"/>
      <c r="L270" s="115"/>
      <c r="M270" s="115">
        <f t="shared" si="69"/>
        <v>0</v>
      </c>
      <c r="N270" s="115"/>
      <c r="O270" s="115"/>
      <c r="P270" s="115"/>
      <c r="Q270" s="247"/>
    </row>
    <row r="271" spans="1:17" s="136" customFormat="1" ht="12.75" hidden="1">
      <c r="A271" s="556"/>
      <c r="B271" s="77" t="s">
        <v>641</v>
      </c>
      <c r="C271" s="34"/>
      <c r="D271" s="252">
        <v>4309</v>
      </c>
      <c r="E271" s="115">
        <f t="shared" si="66"/>
        <v>0</v>
      </c>
      <c r="F271" s="115">
        <f>H271</f>
        <v>0</v>
      </c>
      <c r="G271" s="247"/>
      <c r="H271" s="115">
        <f t="shared" si="67"/>
        <v>0</v>
      </c>
      <c r="I271" s="115">
        <f t="shared" si="68"/>
        <v>0</v>
      </c>
      <c r="J271" s="115"/>
      <c r="K271" s="115"/>
      <c r="L271" s="115"/>
      <c r="M271" s="115">
        <f t="shared" si="69"/>
        <v>0</v>
      </c>
      <c r="N271" s="115"/>
      <c r="O271" s="115"/>
      <c r="P271" s="115"/>
      <c r="Q271" s="247"/>
    </row>
    <row r="272" spans="1:17" s="136" customFormat="1" ht="12.75" hidden="1">
      <c r="A272" s="556"/>
      <c r="B272" s="77" t="s">
        <v>342</v>
      </c>
      <c r="C272" s="34"/>
      <c r="D272" s="252">
        <v>4438</v>
      </c>
      <c r="E272" s="115">
        <f>F272+G272</f>
        <v>0</v>
      </c>
      <c r="F272" s="115"/>
      <c r="G272" s="247">
        <f>M272</f>
        <v>0</v>
      </c>
      <c r="H272" s="115">
        <f>I272+M272</f>
        <v>0</v>
      </c>
      <c r="I272" s="115">
        <f>SUM(J272:L272)</f>
        <v>0</v>
      </c>
      <c r="J272" s="115"/>
      <c r="K272" s="115"/>
      <c r="L272" s="115"/>
      <c r="M272" s="115">
        <f>SUM(N272:Q272)</f>
        <v>0</v>
      </c>
      <c r="N272" s="115"/>
      <c r="O272" s="115"/>
      <c r="P272" s="115"/>
      <c r="Q272" s="247"/>
    </row>
    <row r="273" spans="1:17" s="136" customFormat="1" ht="12.75" hidden="1">
      <c r="A273" s="556"/>
      <c r="B273" s="77" t="s">
        <v>342</v>
      </c>
      <c r="C273" s="34"/>
      <c r="D273" s="252">
        <v>4439</v>
      </c>
      <c r="E273" s="115">
        <f>F273+G273</f>
        <v>0</v>
      </c>
      <c r="F273" s="115">
        <f>H273</f>
        <v>0</v>
      </c>
      <c r="G273" s="247"/>
      <c r="H273" s="115">
        <f>I273+M273</f>
        <v>0</v>
      </c>
      <c r="I273" s="115">
        <f>SUM(J273:L273)</f>
        <v>0</v>
      </c>
      <c r="J273" s="115"/>
      <c r="K273" s="115"/>
      <c r="L273" s="115"/>
      <c r="M273" s="115">
        <f>SUM(N273:Q273)</f>
        <v>0</v>
      </c>
      <c r="N273" s="115"/>
      <c r="O273" s="115"/>
      <c r="P273" s="115"/>
      <c r="Q273" s="247"/>
    </row>
    <row r="274" spans="1:17" s="136" customFormat="1" ht="45" hidden="1">
      <c r="A274" s="556"/>
      <c r="B274" s="324" t="s">
        <v>24</v>
      </c>
      <c r="C274" s="34"/>
      <c r="D274" s="252">
        <v>4748</v>
      </c>
      <c r="E274" s="115">
        <f>F274+G274</f>
        <v>0</v>
      </c>
      <c r="F274" s="115"/>
      <c r="G274" s="247">
        <f>M274</f>
        <v>0</v>
      </c>
      <c r="H274" s="115">
        <f>I274+M274</f>
        <v>0</v>
      </c>
      <c r="I274" s="115">
        <f>SUM(J274:L274)</f>
        <v>0</v>
      </c>
      <c r="J274" s="115"/>
      <c r="K274" s="115"/>
      <c r="L274" s="115"/>
      <c r="M274" s="115">
        <f>SUM(N274:Q274)</f>
        <v>0</v>
      </c>
      <c r="N274" s="115"/>
      <c r="O274" s="115"/>
      <c r="P274" s="115"/>
      <c r="Q274" s="247"/>
    </row>
    <row r="275" spans="1:17" s="136" customFormat="1" ht="45" hidden="1">
      <c r="A275" s="556"/>
      <c r="B275" s="324" t="s">
        <v>24</v>
      </c>
      <c r="C275" s="34"/>
      <c r="D275" s="252">
        <v>4749</v>
      </c>
      <c r="E275" s="115">
        <f>F275+G275</f>
        <v>0</v>
      </c>
      <c r="F275" s="115">
        <f>H275</f>
        <v>0</v>
      </c>
      <c r="G275" s="247"/>
      <c r="H275" s="115">
        <f>I275+M275</f>
        <v>0</v>
      </c>
      <c r="I275" s="115">
        <f>SUM(J275:L275)</f>
        <v>0</v>
      </c>
      <c r="J275" s="115"/>
      <c r="K275" s="115"/>
      <c r="L275" s="115"/>
      <c r="M275" s="115">
        <f>SUM(N275:Q275)</f>
        <v>0</v>
      </c>
      <c r="N275" s="115"/>
      <c r="O275" s="115"/>
      <c r="P275" s="115"/>
      <c r="Q275" s="247"/>
    </row>
    <row r="276" spans="1:19" s="136" customFormat="1" ht="11.25" hidden="1">
      <c r="A276" s="556"/>
      <c r="B276" s="132">
        <v>2009</v>
      </c>
      <c r="C276" s="134"/>
      <c r="D276" s="134"/>
      <c r="E276" s="133">
        <f>F276+G276</f>
        <v>0</v>
      </c>
      <c r="F276" s="133">
        <f>SUM(F256:F275)</f>
        <v>0</v>
      </c>
      <c r="G276" s="133">
        <f>SUM(G256:G275)</f>
        <v>0</v>
      </c>
      <c r="H276" s="133">
        <f>I276+M276</f>
        <v>0</v>
      </c>
      <c r="I276" s="133">
        <f>SUM(I256:I275)</f>
        <v>0</v>
      </c>
      <c r="J276" s="133">
        <f>SUM(J256:J275)</f>
        <v>0</v>
      </c>
      <c r="K276" s="133">
        <f>SUM(K256:K275)</f>
        <v>0</v>
      </c>
      <c r="L276" s="133">
        <f>SUM(L256:L275)</f>
        <v>0</v>
      </c>
      <c r="M276" s="133">
        <f>N276+O276+P276+Q276</f>
        <v>0</v>
      </c>
      <c r="N276" s="133">
        <f>SUM(N256:N275)</f>
        <v>0</v>
      </c>
      <c r="O276" s="133">
        <f>SUM(O256:O275)</f>
        <v>0</v>
      </c>
      <c r="P276" s="133">
        <f>SUM(P256:P275)</f>
        <v>0</v>
      </c>
      <c r="Q276" s="133">
        <f>SUM(Q256:Q275)</f>
        <v>0</v>
      </c>
      <c r="S276" s="317"/>
    </row>
    <row r="277" spans="1:19" s="136" customFormat="1" ht="11.25" hidden="1">
      <c r="A277" s="556"/>
      <c r="B277" s="132"/>
      <c r="C277" s="134"/>
      <c r="D277" s="134"/>
      <c r="E277" s="133"/>
      <c r="F277" s="133"/>
      <c r="G277" s="133"/>
      <c r="H277" s="133"/>
      <c r="I277" s="133"/>
      <c r="J277" s="133"/>
      <c r="K277" s="133"/>
      <c r="L277" s="133"/>
      <c r="M277" s="133"/>
      <c r="N277" s="133"/>
      <c r="O277" s="133"/>
      <c r="P277" s="133"/>
      <c r="Q277" s="133"/>
      <c r="S277" s="317"/>
    </row>
    <row r="278" spans="1:19" s="136" customFormat="1" ht="11.25" hidden="1">
      <c r="A278" s="556"/>
      <c r="B278" s="132"/>
      <c r="C278" s="134"/>
      <c r="D278" s="134"/>
      <c r="E278" s="133"/>
      <c r="F278" s="133"/>
      <c r="G278" s="133"/>
      <c r="H278" s="133"/>
      <c r="I278" s="133"/>
      <c r="J278" s="133"/>
      <c r="K278" s="133"/>
      <c r="L278" s="133"/>
      <c r="M278" s="133"/>
      <c r="N278" s="133"/>
      <c r="O278" s="133"/>
      <c r="P278" s="133"/>
      <c r="Q278" s="133"/>
      <c r="S278" s="317"/>
    </row>
    <row r="279" spans="1:19" s="136" customFormat="1" ht="11.25" hidden="1">
      <c r="A279" s="556"/>
      <c r="B279" s="132"/>
      <c r="C279" s="134"/>
      <c r="D279" s="134"/>
      <c r="E279" s="133"/>
      <c r="F279" s="133"/>
      <c r="G279" s="133"/>
      <c r="H279" s="133"/>
      <c r="I279" s="133"/>
      <c r="J279" s="133"/>
      <c r="K279" s="133"/>
      <c r="L279" s="133"/>
      <c r="M279" s="133"/>
      <c r="N279" s="133"/>
      <c r="O279" s="133"/>
      <c r="P279" s="133"/>
      <c r="Q279" s="133"/>
      <c r="S279" s="317"/>
    </row>
    <row r="280" spans="1:19" s="136" customFormat="1" ht="11.25" hidden="1">
      <c r="A280" s="556"/>
      <c r="B280" s="132"/>
      <c r="C280" s="134"/>
      <c r="D280" s="134"/>
      <c r="E280" s="133"/>
      <c r="F280" s="133"/>
      <c r="G280" s="133"/>
      <c r="H280" s="133"/>
      <c r="I280" s="133"/>
      <c r="J280" s="133"/>
      <c r="K280" s="133"/>
      <c r="L280" s="133"/>
      <c r="M280" s="133"/>
      <c r="N280" s="133"/>
      <c r="O280" s="133"/>
      <c r="P280" s="133"/>
      <c r="Q280" s="133"/>
      <c r="S280" s="317"/>
    </row>
    <row r="281" spans="1:19" s="136" customFormat="1" ht="11.25" hidden="1">
      <c r="A281" s="556"/>
      <c r="B281" s="132"/>
      <c r="C281" s="134"/>
      <c r="D281" s="134"/>
      <c r="E281" s="133"/>
      <c r="F281" s="133"/>
      <c r="G281" s="133"/>
      <c r="H281" s="133"/>
      <c r="I281" s="133"/>
      <c r="J281" s="133"/>
      <c r="K281" s="133"/>
      <c r="L281" s="133"/>
      <c r="M281" s="133"/>
      <c r="N281" s="133"/>
      <c r="O281" s="133"/>
      <c r="P281" s="133"/>
      <c r="Q281" s="133"/>
      <c r="S281" s="317"/>
    </row>
    <row r="282" spans="1:19" s="136" customFormat="1" ht="11.25" hidden="1">
      <c r="A282" s="556"/>
      <c r="B282" s="132"/>
      <c r="C282" s="134"/>
      <c r="D282" s="134"/>
      <c r="E282" s="133"/>
      <c r="F282" s="133"/>
      <c r="G282" s="133"/>
      <c r="H282" s="133"/>
      <c r="I282" s="133"/>
      <c r="J282" s="133"/>
      <c r="K282" s="133"/>
      <c r="L282" s="133"/>
      <c r="M282" s="133"/>
      <c r="N282" s="133"/>
      <c r="O282" s="133"/>
      <c r="P282" s="133"/>
      <c r="Q282" s="133"/>
      <c r="S282" s="317"/>
    </row>
    <row r="283" spans="1:17" ht="15.75" customHeight="1">
      <c r="A283" s="608" t="s">
        <v>306</v>
      </c>
      <c r="B283" s="132" t="s">
        <v>521</v>
      </c>
      <c r="C283" s="610" t="s">
        <v>335</v>
      </c>
      <c r="D283" s="610"/>
      <c r="E283" s="610"/>
      <c r="F283" s="610"/>
      <c r="G283" s="610"/>
      <c r="H283" s="610"/>
      <c r="I283" s="610"/>
      <c r="J283" s="610"/>
      <c r="K283" s="610"/>
      <c r="L283" s="610"/>
      <c r="M283" s="610"/>
      <c r="N283" s="610"/>
      <c r="O283" s="610"/>
      <c r="P283" s="610"/>
      <c r="Q283" s="610"/>
    </row>
    <row r="284" spans="1:17" ht="12.75" customHeight="1">
      <c r="A284" s="608"/>
      <c r="B284" s="132" t="s">
        <v>522</v>
      </c>
      <c r="C284" s="610"/>
      <c r="D284" s="610"/>
      <c r="E284" s="610"/>
      <c r="F284" s="610"/>
      <c r="G284" s="610"/>
      <c r="H284" s="610"/>
      <c r="I284" s="610"/>
      <c r="J284" s="610"/>
      <c r="K284" s="610"/>
      <c r="L284" s="610"/>
      <c r="M284" s="610"/>
      <c r="N284" s="610"/>
      <c r="O284" s="610"/>
      <c r="P284" s="610"/>
      <c r="Q284" s="610"/>
    </row>
    <row r="285" spans="1:17" ht="12.75" customHeight="1">
      <c r="A285" s="608"/>
      <c r="B285" s="132" t="s">
        <v>523</v>
      </c>
      <c r="C285" s="610"/>
      <c r="D285" s="610"/>
      <c r="E285" s="610"/>
      <c r="F285" s="610"/>
      <c r="G285" s="610"/>
      <c r="H285" s="610"/>
      <c r="I285" s="610"/>
      <c r="J285" s="610"/>
      <c r="K285" s="610"/>
      <c r="L285" s="610"/>
      <c r="M285" s="610"/>
      <c r="N285" s="610"/>
      <c r="O285" s="610"/>
      <c r="P285" s="610"/>
      <c r="Q285" s="610"/>
    </row>
    <row r="286" spans="1:17" ht="12.75" customHeight="1">
      <c r="A286" s="608"/>
      <c r="B286" s="132" t="s">
        <v>524</v>
      </c>
      <c r="C286" s="610"/>
      <c r="D286" s="610"/>
      <c r="E286" s="610"/>
      <c r="F286" s="610"/>
      <c r="G286" s="610"/>
      <c r="H286" s="610"/>
      <c r="I286" s="610"/>
      <c r="J286" s="610"/>
      <c r="K286" s="610"/>
      <c r="L286" s="610"/>
      <c r="M286" s="610"/>
      <c r="N286" s="610"/>
      <c r="O286" s="610"/>
      <c r="P286" s="610"/>
      <c r="Q286" s="610"/>
    </row>
    <row r="287" spans="1:17" s="137" customFormat="1" ht="12.75">
      <c r="A287" s="608"/>
      <c r="B287" s="263" t="s">
        <v>525</v>
      </c>
      <c r="C287" s="34"/>
      <c r="D287" s="138" t="s">
        <v>685</v>
      </c>
      <c r="E287" s="115">
        <f>E303+E296</f>
        <v>9720</v>
      </c>
      <c r="F287" s="115">
        <f aca="true" t="shared" si="70" ref="F287:Q287">F303+F296</f>
        <v>9720</v>
      </c>
      <c r="G287" s="115">
        <f t="shared" si="70"/>
        <v>0</v>
      </c>
      <c r="H287" s="115">
        <f t="shared" si="70"/>
        <v>9720</v>
      </c>
      <c r="I287" s="115">
        <f t="shared" si="70"/>
        <v>9720</v>
      </c>
      <c r="J287" s="115">
        <f t="shared" si="70"/>
        <v>0</v>
      </c>
      <c r="K287" s="115">
        <f t="shared" si="70"/>
        <v>0</v>
      </c>
      <c r="L287" s="115">
        <f t="shared" si="70"/>
        <v>9720</v>
      </c>
      <c r="M287" s="115">
        <f t="shared" si="70"/>
        <v>0</v>
      </c>
      <c r="N287" s="115">
        <f t="shared" si="70"/>
        <v>0</v>
      </c>
      <c r="O287" s="115">
        <f t="shared" si="70"/>
        <v>0</v>
      </c>
      <c r="P287" s="115">
        <f t="shared" si="70"/>
        <v>0</v>
      </c>
      <c r="Q287" s="115">
        <f t="shared" si="70"/>
        <v>0</v>
      </c>
    </row>
    <row r="288" spans="1:17" s="137" customFormat="1" ht="12.75" hidden="1">
      <c r="A288" s="608"/>
      <c r="B288" s="132" t="s">
        <v>394</v>
      </c>
      <c r="C288" s="34"/>
      <c r="D288" s="138" t="s">
        <v>402</v>
      </c>
      <c r="E288" s="115"/>
      <c r="F288" s="115"/>
      <c r="G288" s="115"/>
      <c r="H288" s="115"/>
      <c r="I288" s="115"/>
      <c r="J288" s="115"/>
      <c r="K288" s="115"/>
      <c r="L288" s="115"/>
      <c r="M288" s="115"/>
      <c r="N288" s="115"/>
      <c r="O288" s="115"/>
      <c r="P288" s="115"/>
      <c r="Q288" s="115">
        <f>'[1]2'!G803</f>
        <v>0</v>
      </c>
    </row>
    <row r="289" spans="1:17" s="137" customFormat="1" ht="22.5" hidden="1">
      <c r="A289" s="608"/>
      <c r="B289" s="132" t="s">
        <v>395</v>
      </c>
      <c r="C289" s="34"/>
      <c r="D289" s="138" t="s">
        <v>403</v>
      </c>
      <c r="E289" s="115"/>
      <c r="F289" s="115"/>
      <c r="G289" s="115"/>
      <c r="H289" s="115"/>
      <c r="I289" s="115"/>
      <c r="J289" s="115"/>
      <c r="K289" s="115"/>
      <c r="L289" s="115"/>
      <c r="M289" s="115"/>
      <c r="N289" s="115"/>
      <c r="O289" s="115"/>
      <c r="P289" s="115"/>
      <c r="Q289" s="115"/>
    </row>
    <row r="290" spans="1:17" s="137" customFormat="1" ht="12.75" hidden="1">
      <c r="A290" s="608"/>
      <c r="B290" s="132" t="s">
        <v>396</v>
      </c>
      <c r="C290" s="34"/>
      <c r="D290" s="138" t="s">
        <v>404</v>
      </c>
      <c r="E290" s="115"/>
      <c r="F290" s="115"/>
      <c r="G290" s="115"/>
      <c r="H290" s="115"/>
      <c r="I290" s="115"/>
      <c r="J290" s="115"/>
      <c r="K290" s="115"/>
      <c r="L290" s="115"/>
      <c r="M290" s="115"/>
      <c r="N290" s="115"/>
      <c r="O290" s="115"/>
      <c r="P290" s="115"/>
      <c r="Q290" s="115"/>
    </row>
    <row r="291" spans="1:17" s="137" customFormat="1" ht="22.5" hidden="1">
      <c r="A291" s="608"/>
      <c r="B291" s="132" t="s">
        <v>397</v>
      </c>
      <c r="C291" s="34"/>
      <c r="D291" s="138" t="s">
        <v>405</v>
      </c>
      <c r="E291" s="115"/>
      <c r="F291" s="115"/>
      <c r="G291" s="115"/>
      <c r="H291" s="115"/>
      <c r="I291" s="115"/>
      <c r="J291" s="115"/>
      <c r="K291" s="115"/>
      <c r="L291" s="115"/>
      <c r="M291" s="115"/>
      <c r="N291" s="115"/>
      <c r="O291" s="115"/>
      <c r="P291" s="115"/>
      <c r="Q291" s="115"/>
    </row>
    <row r="292" spans="1:17" s="137" customFormat="1" ht="22.5" hidden="1">
      <c r="A292" s="608"/>
      <c r="B292" s="132" t="s">
        <v>254</v>
      </c>
      <c r="C292" s="34"/>
      <c r="D292" s="138" t="s">
        <v>253</v>
      </c>
      <c r="E292" s="115"/>
      <c r="F292" s="115"/>
      <c r="G292" s="115"/>
      <c r="H292" s="115"/>
      <c r="I292" s="115"/>
      <c r="J292" s="115"/>
      <c r="K292" s="115"/>
      <c r="L292" s="115"/>
      <c r="M292" s="115"/>
      <c r="N292" s="115"/>
      <c r="O292" s="115"/>
      <c r="P292" s="115"/>
      <c r="Q292" s="115"/>
    </row>
    <row r="293" spans="1:17" s="137" customFormat="1" ht="33.75" hidden="1">
      <c r="A293" s="608"/>
      <c r="B293" s="132" t="s">
        <v>398</v>
      </c>
      <c r="C293" s="34"/>
      <c r="D293" s="138" t="s">
        <v>406</v>
      </c>
      <c r="E293" s="115"/>
      <c r="F293" s="115"/>
      <c r="G293" s="115"/>
      <c r="H293" s="115"/>
      <c r="I293" s="115"/>
      <c r="J293" s="115"/>
      <c r="K293" s="115"/>
      <c r="L293" s="115"/>
      <c r="M293" s="115"/>
      <c r="N293" s="115"/>
      <c r="O293" s="115"/>
      <c r="P293" s="115"/>
      <c r="Q293" s="115">
        <f>'[1]2'!L830</f>
        <v>0</v>
      </c>
    </row>
    <row r="294" spans="1:17" s="137" customFormat="1" ht="12.75" hidden="1">
      <c r="A294" s="608"/>
      <c r="B294" s="263"/>
      <c r="C294" s="34"/>
      <c r="D294" s="138"/>
      <c r="E294" s="115"/>
      <c r="F294" s="135"/>
      <c r="G294" s="135"/>
      <c r="H294" s="131"/>
      <c r="I294" s="34"/>
      <c r="J294" s="135"/>
      <c r="K294" s="135"/>
      <c r="L294" s="135"/>
      <c r="M294" s="34"/>
      <c r="N294" s="135"/>
      <c r="O294" s="135"/>
      <c r="P294" s="135"/>
      <c r="Q294" s="135"/>
    </row>
    <row r="295" spans="1:17" s="136" customFormat="1" ht="12.75">
      <c r="A295" s="608"/>
      <c r="B295" s="132"/>
      <c r="C295" s="134"/>
      <c r="D295" s="134"/>
      <c r="E295" s="133"/>
      <c r="F295" s="133"/>
      <c r="G295" s="133"/>
      <c r="H295" s="133">
        <f>I295+M295</f>
        <v>0</v>
      </c>
      <c r="I295" s="133">
        <f>J295+K295+L295</f>
        <v>0</v>
      </c>
      <c r="J295" s="133"/>
      <c r="K295" s="133"/>
      <c r="L295" s="133"/>
      <c r="M295" s="115"/>
      <c r="N295" s="133"/>
      <c r="O295" s="133"/>
      <c r="P295" s="133"/>
      <c r="Q295" s="133">
        <f>SUM(Q288:Q293)</f>
        <v>0</v>
      </c>
    </row>
    <row r="296" spans="1:17" s="136" customFormat="1" ht="12.75">
      <c r="A296" s="608"/>
      <c r="B296" s="132">
        <v>2010</v>
      </c>
      <c r="C296" s="134"/>
      <c r="D296" s="134"/>
      <c r="E296" s="133">
        <f aca="true" t="shared" si="71" ref="E296:E303">F296+G296</f>
        <v>9720</v>
      </c>
      <c r="F296" s="133">
        <f>H296</f>
        <v>9720</v>
      </c>
      <c r="G296" s="115">
        <f aca="true" t="shared" si="72" ref="G296:L296">SUM(G297:G302)</f>
        <v>0</v>
      </c>
      <c r="H296" s="115">
        <f t="shared" si="72"/>
        <v>9720</v>
      </c>
      <c r="I296" s="115">
        <f t="shared" si="72"/>
        <v>9720</v>
      </c>
      <c r="J296" s="115">
        <f t="shared" si="72"/>
        <v>0</v>
      </c>
      <c r="K296" s="115">
        <f t="shared" si="72"/>
        <v>0</v>
      </c>
      <c r="L296" s="115">
        <f t="shared" si="72"/>
        <v>9720</v>
      </c>
      <c r="M296" s="115">
        <f>SUM(M297:M302)</f>
        <v>0</v>
      </c>
      <c r="N296" s="115">
        <f>SUM(N297:N302)</f>
        <v>0</v>
      </c>
      <c r="O296" s="115">
        <f>SUM(O297:O302)</f>
        <v>0</v>
      </c>
      <c r="P296" s="115">
        <f>SUM(P297:P302)</f>
        <v>0</v>
      </c>
      <c r="Q296" s="115">
        <f>SUM(Q297:Q302)</f>
        <v>0</v>
      </c>
    </row>
    <row r="297" spans="1:17" s="137" customFormat="1" ht="22.5">
      <c r="A297" s="608"/>
      <c r="B297" s="132" t="s">
        <v>290</v>
      </c>
      <c r="C297" s="34"/>
      <c r="D297" s="138">
        <v>4048</v>
      </c>
      <c r="E297" s="133">
        <f t="shared" si="71"/>
        <v>0</v>
      </c>
      <c r="F297" s="115"/>
      <c r="G297" s="115">
        <f aca="true" t="shared" si="73" ref="G297:G303">M297</f>
        <v>0</v>
      </c>
      <c r="H297" s="133">
        <f>I297+M297</f>
        <v>8270</v>
      </c>
      <c r="I297" s="133">
        <f>J297+K297+L297</f>
        <v>8270</v>
      </c>
      <c r="J297" s="115"/>
      <c r="K297" s="115"/>
      <c r="L297" s="115">
        <v>8270</v>
      </c>
      <c r="M297" s="115">
        <f aca="true" t="shared" si="74" ref="M297:M303">SUM(N297:Q297)</f>
        <v>0</v>
      </c>
      <c r="N297" s="115"/>
      <c r="O297" s="115"/>
      <c r="P297" s="115"/>
      <c r="Q297" s="115">
        <f>'[1]2'!H805</f>
        <v>0</v>
      </c>
    </row>
    <row r="298" spans="1:17" s="137" customFormat="1" ht="12.75">
      <c r="A298" s="608"/>
      <c r="B298" s="132" t="s">
        <v>343</v>
      </c>
      <c r="C298" s="34"/>
      <c r="D298" s="138"/>
      <c r="E298" s="133">
        <f t="shared" si="71"/>
        <v>0</v>
      </c>
      <c r="F298" s="115"/>
      <c r="G298" s="115">
        <f t="shared" si="73"/>
        <v>0</v>
      </c>
      <c r="H298" s="133"/>
      <c r="I298" s="133"/>
      <c r="J298" s="115"/>
      <c r="K298" s="115"/>
      <c r="L298" s="115"/>
      <c r="M298" s="115">
        <f t="shared" si="74"/>
        <v>0</v>
      </c>
      <c r="N298" s="115"/>
      <c r="O298" s="115"/>
      <c r="P298" s="115"/>
      <c r="Q298" s="115"/>
    </row>
    <row r="299" spans="1:17" s="137" customFormat="1" ht="22.5">
      <c r="A299" s="608"/>
      <c r="B299" s="132" t="s">
        <v>395</v>
      </c>
      <c r="C299" s="34"/>
      <c r="D299" s="138">
        <v>4118</v>
      </c>
      <c r="E299" s="133">
        <f t="shared" si="71"/>
        <v>1250</v>
      </c>
      <c r="F299" s="115">
        <f>L299</f>
        <v>1250</v>
      </c>
      <c r="G299" s="115">
        <f t="shared" si="73"/>
        <v>0</v>
      </c>
      <c r="H299" s="133">
        <f>I299+M299</f>
        <v>1250</v>
      </c>
      <c r="I299" s="133">
        <f>J299+K299+L299</f>
        <v>1250</v>
      </c>
      <c r="J299" s="115"/>
      <c r="K299" s="115"/>
      <c r="L299" s="115">
        <v>1250</v>
      </c>
      <c r="M299" s="115">
        <f t="shared" si="74"/>
        <v>0</v>
      </c>
      <c r="N299" s="115"/>
      <c r="O299" s="115"/>
      <c r="P299" s="115"/>
      <c r="Q299" s="115"/>
    </row>
    <row r="300" spans="1:17" s="137" customFormat="1" ht="12.75">
      <c r="A300" s="608"/>
      <c r="B300" s="132" t="s">
        <v>396</v>
      </c>
      <c r="C300" s="34"/>
      <c r="D300" s="138">
        <v>4128</v>
      </c>
      <c r="E300" s="133">
        <f t="shared" si="71"/>
        <v>200</v>
      </c>
      <c r="F300" s="115">
        <f>L300</f>
        <v>200</v>
      </c>
      <c r="G300" s="115">
        <f t="shared" si="73"/>
        <v>0</v>
      </c>
      <c r="H300" s="133">
        <f>I300+M300</f>
        <v>200</v>
      </c>
      <c r="I300" s="133">
        <f>J300+K300+L300</f>
        <v>200</v>
      </c>
      <c r="J300" s="115"/>
      <c r="K300" s="115"/>
      <c r="L300" s="115">
        <v>200</v>
      </c>
      <c r="M300" s="115">
        <f t="shared" si="74"/>
        <v>0</v>
      </c>
      <c r="N300" s="115"/>
      <c r="O300" s="115"/>
      <c r="P300" s="115"/>
      <c r="Q300" s="115"/>
    </row>
    <row r="301" spans="1:17" s="137" customFormat="1" ht="12.75">
      <c r="A301" s="608"/>
      <c r="B301" s="132" t="s">
        <v>345</v>
      </c>
      <c r="C301" s="34"/>
      <c r="D301" s="138"/>
      <c r="E301" s="133">
        <f>F301+G301</f>
        <v>0</v>
      </c>
      <c r="F301" s="115">
        <f>H301</f>
        <v>0</v>
      </c>
      <c r="G301" s="115">
        <f>M301</f>
        <v>0</v>
      </c>
      <c r="H301" s="133">
        <f>I301+M301</f>
        <v>0</v>
      </c>
      <c r="I301" s="133">
        <f>J301+K301+L301</f>
        <v>0</v>
      </c>
      <c r="J301" s="115"/>
      <c r="K301" s="115"/>
      <c r="L301" s="115"/>
      <c r="M301" s="115"/>
      <c r="N301" s="115"/>
      <c r="O301" s="115"/>
      <c r="P301" s="115"/>
      <c r="Q301" s="115"/>
    </row>
    <row r="302" spans="1:17" s="137" customFormat="1" ht="12.75">
      <c r="A302" s="608"/>
      <c r="B302" s="132" t="s">
        <v>295</v>
      </c>
      <c r="C302" s="34"/>
      <c r="D302" s="138">
        <v>4308</v>
      </c>
      <c r="E302" s="133">
        <f t="shared" si="71"/>
        <v>0</v>
      </c>
      <c r="F302" s="115"/>
      <c r="G302" s="115">
        <f t="shared" si="73"/>
        <v>0</v>
      </c>
      <c r="H302" s="133"/>
      <c r="I302" s="133">
        <f>J302+K302+L302</f>
        <v>0</v>
      </c>
      <c r="J302" s="115"/>
      <c r="K302" s="115"/>
      <c r="L302" s="115"/>
      <c r="M302" s="115">
        <f t="shared" si="74"/>
        <v>0</v>
      </c>
      <c r="N302" s="115"/>
      <c r="O302" s="115"/>
      <c r="P302" s="115"/>
      <c r="Q302" s="115"/>
    </row>
    <row r="303" spans="1:19" s="136" customFormat="1" ht="11.25">
      <c r="A303" s="556"/>
      <c r="B303" s="132">
        <v>2009</v>
      </c>
      <c r="C303" s="134"/>
      <c r="D303" s="134"/>
      <c r="E303" s="133">
        <f t="shared" si="71"/>
        <v>0</v>
      </c>
      <c r="F303" s="133"/>
      <c r="G303" s="133">
        <f t="shared" si="73"/>
        <v>0</v>
      </c>
      <c r="H303" s="133"/>
      <c r="I303" s="133"/>
      <c r="J303" s="133"/>
      <c r="K303" s="133"/>
      <c r="L303" s="133"/>
      <c r="M303" s="133">
        <f t="shared" si="74"/>
        <v>0</v>
      </c>
      <c r="N303" s="133"/>
      <c r="O303" s="133"/>
      <c r="P303" s="133"/>
      <c r="Q303" s="133"/>
      <c r="S303" s="317"/>
    </row>
    <row r="304" spans="1:17" s="136" customFormat="1" ht="11.25" customHeight="1" hidden="1">
      <c r="A304" s="556" t="s">
        <v>17</v>
      </c>
      <c r="B304" s="132" t="s">
        <v>521</v>
      </c>
      <c r="C304" s="611" t="s">
        <v>328</v>
      </c>
      <c r="D304" s="611"/>
      <c r="E304" s="611"/>
      <c r="F304" s="611"/>
      <c r="G304" s="611"/>
      <c r="H304" s="611"/>
      <c r="I304" s="611"/>
      <c r="J304" s="611"/>
      <c r="K304" s="611"/>
      <c r="L304" s="611"/>
      <c r="M304" s="611"/>
      <c r="N304" s="611"/>
      <c r="O304" s="611"/>
      <c r="P304" s="611"/>
      <c r="Q304" s="611"/>
    </row>
    <row r="305" spans="1:17" s="136" customFormat="1" ht="11.25" customHeight="1" hidden="1">
      <c r="A305" s="556"/>
      <c r="B305" s="132" t="s">
        <v>522</v>
      </c>
      <c r="C305" s="611"/>
      <c r="D305" s="611"/>
      <c r="E305" s="611"/>
      <c r="F305" s="611"/>
      <c r="G305" s="611"/>
      <c r="H305" s="611"/>
      <c r="I305" s="611"/>
      <c r="J305" s="611"/>
      <c r="K305" s="611"/>
      <c r="L305" s="611"/>
      <c r="M305" s="611"/>
      <c r="N305" s="611"/>
      <c r="O305" s="611"/>
      <c r="P305" s="611"/>
      <c r="Q305" s="611"/>
    </row>
    <row r="306" spans="1:17" s="136" customFormat="1" ht="11.25" customHeight="1" hidden="1">
      <c r="A306" s="556"/>
      <c r="B306" s="132" t="s">
        <v>523</v>
      </c>
      <c r="C306" s="611"/>
      <c r="D306" s="611"/>
      <c r="E306" s="611"/>
      <c r="F306" s="611"/>
      <c r="G306" s="611"/>
      <c r="H306" s="611"/>
      <c r="I306" s="611"/>
      <c r="J306" s="611"/>
      <c r="K306" s="611"/>
      <c r="L306" s="611"/>
      <c r="M306" s="611"/>
      <c r="N306" s="611"/>
      <c r="O306" s="611"/>
      <c r="P306" s="611"/>
      <c r="Q306" s="611"/>
    </row>
    <row r="307" spans="1:17" s="136" customFormat="1" ht="11.25" customHeight="1" hidden="1">
      <c r="A307" s="556"/>
      <c r="B307" s="132" t="s">
        <v>524</v>
      </c>
      <c r="C307" s="611"/>
      <c r="D307" s="611"/>
      <c r="E307" s="611"/>
      <c r="F307" s="611"/>
      <c r="G307" s="611"/>
      <c r="H307" s="611"/>
      <c r="I307" s="611"/>
      <c r="J307" s="611"/>
      <c r="K307" s="611"/>
      <c r="L307" s="611"/>
      <c r="M307" s="611"/>
      <c r="N307" s="611"/>
      <c r="O307" s="611"/>
      <c r="P307" s="611"/>
      <c r="Q307" s="611"/>
    </row>
    <row r="308" spans="1:17" s="136" customFormat="1" ht="12.75" hidden="1">
      <c r="A308" s="556"/>
      <c r="B308" s="263" t="s">
        <v>525</v>
      </c>
      <c r="C308" s="34"/>
      <c r="D308" s="138" t="s">
        <v>334</v>
      </c>
      <c r="E308" s="115">
        <f>SUM(E309:E313)</f>
        <v>0</v>
      </c>
      <c r="F308" s="115">
        <f>SUM(F309:F313)</f>
        <v>0</v>
      </c>
      <c r="G308" s="115">
        <f>SUM(G309:G313)</f>
        <v>0</v>
      </c>
      <c r="H308" s="115">
        <f>SUM(H309:H313)</f>
        <v>0</v>
      </c>
      <c r="I308" s="115">
        <f>SUM(I309:I312)</f>
        <v>0</v>
      </c>
      <c r="J308" s="115">
        <f>SUM(J309:J312)</f>
        <v>0</v>
      </c>
      <c r="K308" s="115">
        <f>SUM(K309:K312)</f>
        <v>0</v>
      </c>
      <c r="L308" s="115">
        <f>SUM(L309:L312)</f>
        <v>0</v>
      </c>
      <c r="M308" s="115">
        <f>SUM(M309:M312)</f>
        <v>0</v>
      </c>
      <c r="N308" s="115">
        <f>N309+N311</f>
        <v>0</v>
      </c>
      <c r="O308" s="115">
        <f>O309+O311</f>
        <v>0</v>
      </c>
      <c r="P308" s="115">
        <f>P309+P311</f>
        <v>0</v>
      </c>
      <c r="Q308" s="115">
        <f>SUM(Q309:Q312)</f>
        <v>0</v>
      </c>
    </row>
    <row r="309" spans="1:17" s="136" customFormat="1" ht="22.5" hidden="1">
      <c r="A309" s="556"/>
      <c r="B309" s="77" t="s">
        <v>658</v>
      </c>
      <c r="C309" s="34"/>
      <c r="D309" s="252">
        <v>4218</v>
      </c>
      <c r="E309" s="115">
        <f>F309+G309</f>
        <v>0</v>
      </c>
      <c r="F309" s="115"/>
      <c r="G309" s="247">
        <f>Q309</f>
        <v>0</v>
      </c>
      <c r="H309" s="115">
        <f>I309+M309</f>
        <v>0</v>
      </c>
      <c r="I309" s="115">
        <f>SUM(J309:L309)</f>
        <v>0</v>
      </c>
      <c r="J309" s="115"/>
      <c r="K309" s="115"/>
      <c r="L309" s="115"/>
      <c r="M309" s="115">
        <f>SUM(N309:Q309)</f>
        <v>0</v>
      </c>
      <c r="N309" s="115"/>
      <c r="O309" s="115"/>
      <c r="P309" s="115"/>
      <c r="Q309" s="247"/>
    </row>
    <row r="310" spans="1:17" s="136" customFormat="1" ht="22.5" hidden="1">
      <c r="A310" s="556"/>
      <c r="B310" s="77" t="s">
        <v>658</v>
      </c>
      <c r="C310" s="34"/>
      <c r="D310" s="252">
        <v>4219</v>
      </c>
      <c r="E310" s="115">
        <f>F310+G310</f>
        <v>0</v>
      </c>
      <c r="F310" s="115">
        <f>L310</f>
        <v>0</v>
      </c>
      <c r="G310" s="247"/>
      <c r="H310" s="115">
        <f>I310+M310</f>
        <v>0</v>
      </c>
      <c r="I310" s="115">
        <f>SUM(J310:L310)</f>
        <v>0</v>
      </c>
      <c r="J310" s="115"/>
      <c r="K310" s="115"/>
      <c r="L310" s="115"/>
      <c r="M310" s="115">
        <f>SUM(N310:Q310)</f>
        <v>0</v>
      </c>
      <c r="N310" s="115"/>
      <c r="O310" s="115"/>
      <c r="P310" s="115"/>
      <c r="Q310" s="247"/>
    </row>
    <row r="311" spans="1:17" s="136" customFormat="1" ht="12.75" hidden="1">
      <c r="A311" s="556"/>
      <c r="B311" s="77" t="s">
        <v>641</v>
      </c>
      <c r="C311" s="34"/>
      <c r="D311" s="252">
        <v>4308</v>
      </c>
      <c r="E311" s="115">
        <f>F311+G311</f>
        <v>0</v>
      </c>
      <c r="F311" s="115"/>
      <c r="G311" s="247">
        <f>Q311</f>
        <v>0</v>
      </c>
      <c r="H311" s="115">
        <f>I311+M311</f>
        <v>0</v>
      </c>
      <c r="I311" s="115">
        <f>SUM(J311:L311)</f>
        <v>0</v>
      </c>
      <c r="J311" s="115"/>
      <c r="K311" s="115"/>
      <c r="L311" s="115"/>
      <c r="M311" s="115">
        <f>SUM(N311:Q311)</f>
        <v>0</v>
      </c>
      <c r="N311" s="115"/>
      <c r="O311" s="115"/>
      <c r="P311" s="115"/>
      <c r="Q311" s="247"/>
    </row>
    <row r="312" spans="1:17" s="136" customFormat="1" ht="12.75" hidden="1">
      <c r="A312" s="556"/>
      <c r="B312" s="77" t="s">
        <v>641</v>
      </c>
      <c r="C312" s="34"/>
      <c r="D312" s="252">
        <v>4309</v>
      </c>
      <c r="E312" s="115">
        <f>F312+G312</f>
        <v>0</v>
      </c>
      <c r="F312" s="115">
        <f>L312</f>
        <v>0</v>
      </c>
      <c r="G312" s="247"/>
      <c r="H312" s="115">
        <f>I312+M312</f>
        <v>0</v>
      </c>
      <c r="I312" s="115">
        <f>SUM(J312:L312)</f>
        <v>0</v>
      </c>
      <c r="J312" s="115"/>
      <c r="K312" s="115"/>
      <c r="L312" s="115"/>
      <c r="M312" s="115">
        <f>SUM(N312:Q312)</f>
        <v>0</v>
      </c>
      <c r="N312" s="115"/>
      <c r="O312" s="115"/>
      <c r="P312" s="115"/>
      <c r="Q312" s="247"/>
    </row>
    <row r="313" spans="1:19" s="136" customFormat="1" ht="11.25" hidden="1">
      <c r="A313" s="556"/>
      <c r="B313" s="132"/>
      <c r="C313" s="134"/>
      <c r="D313" s="134"/>
      <c r="E313" s="133"/>
      <c r="F313" s="133"/>
      <c r="G313" s="133"/>
      <c r="H313" s="133"/>
      <c r="I313" s="133"/>
      <c r="J313" s="133"/>
      <c r="K313" s="133"/>
      <c r="L313" s="133"/>
      <c r="M313" s="133"/>
      <c r="N313" s="133"/>
      <c r="O313" s="133"/>
      <c r="P313" s="133"/>
      <c r="Q313" s="133"/>
      <c r="S313" s="317"/>
    </row>
    <row r="314" spans="1:19" s="136" customFormat="1" ht="11.25" hidden="1">
      <c r="A314" s="556"/>
      <c r="B314" s="132"/>
      <c r="C314" s="134"/>
      <c r="D314" s="134"/>
      <c r="E314" s="133"/>
      <c r="F314" s="133"/>
      <c r="G314" s="133"/>
      <c r="H314" s="133"/>
      <c r="I314" s="133"/>
      <c r="J314" s="133"/>
      <c r="K314" s="133"/>
      <c r="L314" s="133"/>
      <c r="M314" s="133"/>
      <c r="N314" s="133"/>
      <c r="O314" s="133"/>
      <c r="P314" s="133"/>
      <c r="Q314" s="133"/>
      <c r="S314" s="317"/>
    </row>
    <row r="315" spans="1:17" s="54" customFormat="1" ht="15" customHeight="1">
      <c r="A315" s="612" t="s">
        <v>531</v>
      </c>
      <c r="B315" s="612"/>
      <c r="C315" s="612" t="s">
        <v>482</v>
      </c>
      <c r="D315" s="612"/>
      <c r="E315" s="255">
        <f aca="true" t="shared" si="75" ref="E315:Q315">E10+E57</f>
        <v>36942310.5</v>
      </c>
      <c r="F315" s="255">
        <f t="shared" si="75"/>
        <v>10517220.8985</v>
      </c>
      <c r="G315" s="256">
        <f t="shared" si="75"/>
        <v>13836349.0915</v>
      </c>
      <c r="H315" s="256">
        <f t="shared" si="75"/>
        <v>24353569.99</v>
      </c>
      <c r="I315" s="255">
        <f t="shared" si="75"/>
        <v>10091313.8985</v>
      </c>
      <c r="J315" s="255">
        <f t="shared" si="75"/>
        <v>0</v>
      </c>
      <c r="K315" s="255">
        <f t="shared" si="75"/>
        <v>0</v>
      </c>
      <c r="L315" s="255">
        <f t="shared" si="75"/>
        <v>10091313.8985</v>
      </c>
      <c r="M315" s="255">
        <f t="shared" si="75"/>
        <v>14262256.0915</v>
      </c>
      <c r="N315" s="255">
        <f t="shared" si="75"/>
        <v>0</v>
      </c>
      <c r="O315" s="255">
        <f t="shared" si="75"/>
        <v>0</v>
      </c>
      <c r="P315" s="255">
        <f t="shared" si="75"/>
        <v>0</v>
      </c>
      <c r="Q315" s="255">
        <f t="shared" si="75"/>
        <v>14262256.0915</v>
      </c>
    </row>
    <row r="318" ht="11.25">
      <c r="B318" s="322"/>
    </row>
    <row r="319" ht="11.25">
      <c r="D319" s="350"/>
    </row>
    <row r="320" ht="11.25">
      <c r="D320" s="350"/>
    </row>
    <row r="323" ht="11.25">
      <c r="D323" s="350"/>
    </row>
    <row r="325" ht="11.25">
      <c r="D325" s="350"/>
    </row>
    <row r="327" ht="11.25">
      <c r="D327" s="350"/>
    </row>
  </sheetData>
  <sheetProtection/>
  <mergeCells count="43">
    <mergeCell ref="A283:A302"/>
    <mergeCell ref="C283:Q286"/>
    <mergeCell ref="C304:Q307"/>
    <mergeCell ref="A315:B315"/>
    <mergeCell ref="C315:D315"/>
    <mergeCell ref="C164:Q167"/>
    <mergeCell ref="C191:Q194"/>
    <mergeCell ref="C218:Q221"/>
    <mergeCell ref="C244:Q247"/>
    <mergeCell ref="C77:Q80"/>
    <mergeCell ref="C106:Q109"/>
    <mergeCell ref="C132:Q135"/>
    <mergeCell ref="C163:Q163"/>
    <mergeCell ref="C22:Q22"/>
    <mergeCell ref="C47:Q50"/>
    <mergeCell ref="C57:D57"/>
    <mergeCell ref="A58:A76"/>
    <mergeCell ref="C58:Q61"/>
    <mergeCell ref="C31:Q31"/>
    <mergeCell ref="C39:Q39"/>
    <mergeCell ref="C10:D10"/>
    <mergeCell ref="A11:A21"/>
    <mergeCell ref="C11:Q13"/>
    <mergeCell ref="C14:Q14"/>
    <mergeCell ref="H4:Q4"/>
    <mergeCell ref="H5:H8"/>
    <mergeCell ref="I5:Q5"/>
    <mergeCell ref="I6:L6"/>
    <mergeCell ref="M6:Q6"/>
    <mergeCell ref="I7:I8"/>
    <mergeCell ref="J7:L7"/>
    <mergeCell ref="M7:M8"/>
    <mergeCell ref="N7:Q7"/>
    <mergeCell ref="A1:Q1"/>
    <mergeCell ref="A3:A8"/>
    <mergeCell ref="B3:B8"/>
    <mergeCell ref="C3:C8"/>
    <mergeCell ref="D3:D8"/>
    <mergeCell ref="E3:E8"/>
    <mergeCell ref="F3:G3"/>
    <mergeCell ref="H3:Q3"/>
    <mergeCell ref="F4:F8"/>
    <mergeCell ref="G4:G8"/>
  </mergeCells>
  <printOptions/>
  <pageMargins left="0.5905511811023623" right="0.5905511811023623" top="1.1811023622047245" bottom="0.5905511811023623" header="0.5118110236220472" footer="0.5118110236220472"/>
  <pageSetup firstPageNumber="53" useFirstPageNumber="1" horizontalDpi="600" verticalDpi="600" orientation="landscape" paperSize="9" scale="80" r:id="rId1"/>
  <headerFooter alignWithMargins="0">
    <oddHeader>&amp;RZałącznik nr 4
do uchwały Zarządu Powiatu
nr 260/09
z dnia 9.11.2009 r.</oddHeader>
    <oddFooter>&amp;C&amp;P</oddFoot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B4" sqref="B4:B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5" customWidth="1"/>
    <col min="5" max="6" width="9.125" style="1" customWidth="1"/>
    <col min="7" max="7" width="10.125" style="1" bestFit="1" customWidth="1"/>
    <col min="8" max="16384" width="9.125" style="1" customWidth="1"/>
  </cols>
  <sheetData>
    <row r="1" spans="1:4" ht="15" customHeight="1">
      <c r="A1" s="599" t="s">
        <v>696</v>
      </c>
      <c r="B1" s="599"/>
      <c r="C1" s="599"/>
      <c r="D1" s="599"/>
    </row>
    <row r="2" ht="6.75" customHeight="1">
      <c r="A2" s="15"/>
    </row>
    <row r="3" ht="12.75">
      <c r="D3" s="88" t="s">
        <v>476</v>
      </c>
    </row>
    <row r="4" spans="1:4" ht="15" customHeight="1">
      <c r="A4" s="580" t="s">
        <v>493</v>
      </c>
      <c r="B4" s="580" t="s">
        <v>440</v>
      </c>
      <c r="C4" s="566" t="s">
        <v>494</v>
      </c>
      <c r="D4" s="560" t="s">
        <v>726</v>
      </c>
    </row>
    <row r="5" spans="1:4" ht="15" customHeight="1">
      <c r="A5" s="580"/>
      <c r="B5" s="580"/>
      <c r="C5" s="580"/>
      <c r="D5" s="560"/>
    </row>
    <row r="6" spans="1:4" ht="15.75" customHeight="1">
      <c r="A6" s="580"/>
      <c r="B6" s="580"/>
      <c r="C6" s="580"/>
      <c r="D6" s="560"/>
    </row>
    <row r="7" spans="1:4" s="56" customFormat="1" ht="6.75" customHeight="1">
      <c r="A7" s="55">
        <v>1</v>
      </c>
      <c r="B7" s="55">
        <v>2</v>
      </c>
      <c r="C7" s="55">
        <v>3</v>
      </c>
      <c r="D7" s="89">
        <v>4</v>
      </c>
    </row>
    <row r="8" spans="1:4" ht="18.75" customHeight="1">
      <c r="A8" s="613" t="s">
        <v>460</v>
      </c>
      <c r="B8" s="613"/>
      <c r="C8" s="22"/>
      <c r="D8" s="75">
        <f>SUM(D9:D16)</f>
        <v>10526945</v>
      </c>
    </row>
    <row r="9" spans="1:4" ht="18.75" customHeight="1">
      <c r="A9" s="23" t="s">
        <v>446</v>
      </c>
      <c r="B9" s="24" t="s">
        <v>454</v>
      </c>
      <c r="C9" s="23" t="s">
        <v>461</v>
      </c>
      <c r="D9" s="90">
        <f>3818329+4000</f>
        <v>3822329</v>
      </c>
    </row>
    <row r="10" spans="1:4" ht="18.75" customHeight="1">
      <c r="A10" s="25" t="s">
        <v>447</v>
      </c>
      <c r="B10" s="26" t="s">
        <v>455</v>
      </c>
      <c r="C10" s="25" t="s">
        <v>461</v>
      </c>
      <c r="D10" s="91"/>
    </row>
    <row r="11" spans="1:7" ht="51">
      <c r="A11" s="25" t="s">
        <v>448</v>
      </c>
      <c r="B11" s="27" t="s">
        <v>554</v>
      </c>
      <c r="C11" s="25" t="s">
        <v>484</v>
      </c>
      <c r="D11" s="91"/>
      <c r="G11" s="65"/>
    </row>
    <row r="12" spans="1:4" ht="18.75" customHeight="1">
      <c r="A12" s="25" t="s">
        <v>436</v>
      </c>
      <c r="B12" s="26" t="s">
        <v>463</v>
      </c>
      <c r="C12" s="25" t="s">
        <v>485</v>
      </c>
      <c r="D12" s="91"/>
    </row>
    <row r="13" spans="1:4" ht="18.75" customHeight="1">
      <c r="A13" s="25" t="s">
        <v>453</v>
      </c>
      <c r="B13" s="26" t="s">
        <v>555</v>
      </c>
      <c r="C13" s="25" t="s">
        <v>592</v>
      </c>
      <c r="D13" s="91"/>
    </row>
    <row r="14" spans="1:4" ht="18.75" customHeight="1">
      <c r="A14" s="25" t="s">
        <v>456</v>
      </c>
      <c r="B14" s="26" t="s">
        <v>457</v>
      </c>
      <c r="C14" s="25" t="s">
        <v>462</v>
      </c>
      <c r="D14" s="91"/>
    </row>
    <row r="15" spans="1:4" ht="18.75" customHeight="1">
      <c r="A15" s="25" t="s">
        <v>458</v>
      </c>
      <c r="B15" s="26" t="s">
        <v>602</v>
      </c>
      <c r="C15" s="25" t="s">
        <v>503</v>
      </c>
      <c r="D15" s="91">
        <v>3600000</v>
      </c>
    </row>
    <row r="16" spans="1:4" ht="18.75" customHeight="1">
      <c r="A16" s="25" t="s">
        <v>465</v>
      </c>
      <c r="B16" s="29" t="s">
        <v>483</v>
      </c>
      <c r="C16" s="28" t="s">
        <v>464</v>
      </c>
      <c r="D16" s="92">
        <f>2083300+1021316</f>
        <v>3104616</v>
      </c>
    </row>
    <row r="17" spans="1:4" ht="18.75" customHeight="1">
      <c r="A17" s="613" t="s">
        <v>556</v>
      </c>
      <c r="B17" s="613"/>
      <c r="C17" s="22"/>
      <c r="D17" s="75">
        <f>SUM(D18:D24)</f>
        <v>1021316</v>
      </c>
    </row>
    <row r="18" spans="1:4" ht="18.75" customHeight="1">
      <c r="A18" s="23" t="s">
        <v>446</v>
      </c>
      <c r="B18" s="24" t="s">
        <v>486</v>
      </c>
      <c r="C18" s="23" t="s">
        <v>467</v>
      </c>
      <c r="D18" s="90">
        <v>1021316</v>
      </c>
    </row>
    <row r="19" spans="1:4" ht="18.75" customHeight="1">
      <c r="A19" s="25" t="s">
        <v>447</v>
      </c>
      <c r="B19" s="26" t="s">
        <v>466</v>
      </c>
      <c r="C19" s="25" t="s">
        <v>467</v>
      </c>
      <c r="D19" s="91"/>
    </row>
    <row r="20" spans="1:4" ht="38.25">
      <c r="A20" s="25" t="s">
        <v>448</v>
      </c>
      <c r="B20" s="27" t="s">
        <v>489</v>
      </c>
      <c r="C20" s="25" t="s">
        <v>490</v>
      </c>
      <c r="D20" s="91"/>
    </row>
    <row r="21" spans="1:4" ht="18.75" customHeight="1">
      <c r="A21" s="25" t="s">
        <v>436</v>
      </c>
      <c r="B21" s="26" t="s">
        <v>487</v>
      </c>
      <c r="C21" s="25" t="s">
        <v>481</v>
      </c>
      <c r="D21" s="91"/>
    </row>
    <row r="22" spans="1:4" ht="18.75" customHeight="1">
      <c r="A22" s="25" t="s">
        <v>453</v>
      </c>
      <c r="B22" s="26" t="s">
        <v>488</v>
      </c>
      <c r="C22" s="25" t="s">
        <v>469</v>
      </c>
      <c r="D22" s="91"/>
    </row>
    <row r="23" spans="1:4" ht="18.75" customHeight="1">
      <c r="A23" s="25" t="s">
        <v>456</v>
      </c>
      <c r="B23" s="26" t="s">
        <v>603</v>
      </c>
      <c r="C23" s="25" t="s">
        <v>470</v>
      </c>
      <c r="D23" s="91"/>
    </row>
    <row r="24" spans="1:4" ht="18.75" customHeight="1">
      <c r="A24" s="28" t="s">
        <v>458</v>
      </c>
      <c r="B24" s="29" t="s">
        <v>471</v>
      </c>
      <c r="C24" s="28" t="s">
        <v>468</v>
      </c>
      <c r="D24" s="92"/>
    </row>
    <row r="25" spans="1:4" ht="7.5" customHeight="1">
      <c r="A25" s="3"/>
      <c r="B25" s="4"/>
      <c r="C25" s="4"/>
      <c r="D25" s="93"/>
    </row>
    <row r="26" spans="1:6" ht="12.75">
      <c r="A26" s="37"/>
      <c r="B26" s="36"/>
      <c r="C26" s="36"/>
      <c r="D26" s="94"/>
      <c r="E26" s="32"/>
      <c r="F26" s="32"/>
    </row>
  </sheetData>
  <sheetProtection/>
  <mergeCells count="7">
    <mergeCell ref="A8:B8"/>
    <mergeCell ref="A17:B17"/>
    <mergeCell ref="A1:D1"/>
    <mergeCell ref="A4:A6"/>
    <mergeCell ref="C4:C6"/>
    <mergeCell ref="B4:B6"/>
    <mergeCell ref="D4:D6"/>
  </mergeCells>
  <printOptions horizontalCentered="1"/>
  <pageMargins left="0.5905511811023623" right="0.5905511811023623" top="1.6141732283464567" bottom="0.5905511811023623" header="0.5118110236220472" footer="0.5118110236220472"/>
  <pageSetup firstPageNumber="62" useFirstPageNumber="1" horizontalDpi="600" verticalDpi="600" orientation="portrait" paperSize="9" r:id="rId1"/>
  <headerFooter alignWithMargins="0">
    <oddHeader>&amp;RZałącznik nr 5
do uchwały Zarządu Powiatu nr 260/09
z dnia 9.11.2009 r.</oddHeader>
    <oddFooter>&amp;C&amp;P</oddFoot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K12" sqref="K12"/>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70" t="s">
        <v>738</v>
      </c>
      <c r="B1" s="570"/>
      <c r="C1" s="570"/>
      <c r="D1" s="570"/>
      <c r="E1" s="570"/>
      <c r="F1" s="570"/>
      <c r="G1" s="570"/>
      <c r="H1" s="570"/>
      <c r="I1" s="570"/>
      <c r="J1" s="570"/>
    </row>
    <row r="2" ht="12.75">
      <c r="J2" s="8" t="s">
        <v>476</v>
      </c>
    </row>
    <row r="3" spans="1:10" s="2" customFormat="1" ht="36.75" customHeight="1">
      <c r="A3" s="13" t="s">
        <v>437</v>
      </c>
      <c r="B3" s="78" t="s">
        <v>438</v>
      </c>
      <c r="C3" s="78" t="s">
        <v>561</v>
      </c>
      <c r="D3" s="14" t="s">
        <v>547</v>
      </c>
      <c r="E3" s="14" t="s">
        <v>593</v>
      </c>
      <c r="F3" s="560" t="s">
        <v>545</v>
      </c>
      <c r="G3" s="566" t="s">
        <v>441</v>
      </c>
      <c r="H3" s="566"/>
      <c r="I3" s="566"/>
      <c r="J3" s="566" t="s">
        <v>546</v>
      </c>
    </row>
    <row r="4" spans="1:10" s="2" customFormat="1" ht="65.25" customHeight="1">
      <c r="A4" s="13"/>
      <c r="B4" s="79"/>
      <c r="C4" s="79"/>
      <c r="D4" s="13"/>
      <c r="E4" s="14"/>
      <c r="F4" s="560"/>
      <c r="G4" s="83" t="s">
        <v>543</v>
      </c>
      <c r="H4" s="83" t="s">
        <v>544</v>
      </c>
      <c r="I4" s="83" t="s">
        <v>177</v>
      </c>
      <c r="J4" s="566"/>
    </row>
    <row r="5" spans="1:10" ht="9" customHeight="1">
      <c r="A5" s="16">
        <v>1</v>
      </c>
      <c r="B5" s="16">
        <v>2</v>
      </c>
      <c r="C5" s="16">
        <v>3</v>
      </c>
      <c r="D5" s="84">
        <v>4</v>
      </c>
      <c r="E5" s="84">
        <v>5</v>
      </c>
      <c r="F5" s="84">
        <v>6</v>
      </c>
      <c r="G5" s="84">
        <v>7</v>
      </c>
      <c r="H5" s="84">
        <v>8</v>
      </c>
      <c r="I5" s="84">
        <v>9</v>
      </c>
      <c r="J5" s="16">
        <v>10</v>
      </c>
    </row>
    <row r="6" spans="1:10" ht="19.5" customHeight="1">
      <c r="A6" s="17" t="s">
        <v>637</v>
      </c>
      <c r="B6" s="17" t="s">
        <v>639</v>
      </c>
      <c r="C6" s="17">
        <v>211</v>
      </c>
      <c r="D6" s="72">
        <f>1!E12</f>
        <v>25000</v>
      </c>
      <c r="E6" s="72">
        <f>SUM(F6+J6)</f>
        <v>25000</v>
      </c>
      <c r="F6" s="72">
        <f>D6</f>
        <v>25000</v>
      </c>
      <c r="G6" s="72"/>
      <c r="H6" s="72"/>
      <c r="I6" s="72"/>
      <c r="J6" s="17"/>
    </row>
    <row r="7" spans="1:10" ht="19.5" customHeight="1">
      <c r="A7" s="17" t="s">
        <v>178</v>
      </c>
      <c r="B7" s="17" t="s">
        <v>179</v>
      </c>
      <c r="C7" s="17">
        <v>211</v>
      </c>
      <c r="D7" s="72">
        <f>1!E32</f>
        <v>111000</v>
      </c>
      <c r="E7" s="72">
        <f aca="true" t="shared" si="0" ref="E7:E19">SUM(F7+J7)</f>
        <v>111000</v>
      </c>
      <c r="F7" s="72">
        <f aca="true" t="shared" si="1" ref="F7:F19">D7</f>
        <v>111000</v>
      </c>
      <c r="G7" s="72"/>
      <c r="H7" s="72"/>
      <c r="I7" s="72"/>
      <c r="J7" s="17"/>
    </row>
    <row r="8" spans="1:10" ht="19.5" customHeight="1" hidden="1">
      <c r="A8" s="17"/>
      <c r="B8" s="17"/>
      <c r="C8" s="17">
        <v>640</v>
      </c>
      <c r="D8" s="72"/>
      <c r="E8" s="72">
        <f>SUM(F8+J8)</f>
        <v>0</v>
      </c>
      <c r="F8" s="72"/>
      <c r="G8" s="72"/>
      <c r="H8" s="72"/>
      <c r="I8" s="72"/>
      <c r="J8" s="17"/>
    </row>
    <row r="9" spans="1:10" ht="19.5" customHeight="1">
      <c r="A9" s="17" t="s">
        <v>180</v>
      </c>
      <c r="B9" s="17" t="s">
        <v>181</v>
      </c>
      <c r="C9" s="17">
        <v>211</v>
      </c>
      <c r="D9" s="72">
        <f>1!E38</f>
        <v>70000</v>
      </c>
      <c r="E9" s="72">
        <f t="shared" si="0"/>
        <v>70000</v>
      </c>
      <c r="F9" s="72">
        <f t="shared" si="1"/>
        <v>70000</v>
      </c>
      <c r="G9" s="72"/>
      <c r="H9" s="72"/>
      <c r="I9" s="72"/>
      <c r="J9" s="17"/>
    </row>
    <row r="10" spans="1:10" ht="19.5" customHeight="1">
      <c r="A10" s="17"/>
      <c r="B10" s="17" t="s">
        <v>182</v>
      </c>
      <c r="C10" s="17">
        <v>211</v>
      </c>
      <c r="D10" s="72">
        <f>1!E40</f>
        <v>4900</v>
      </c>
      <c r="E10" s="72">
        <f t="shared" si="0"/>
        <v>4900</v>
      </c>
      <c r="F10" s="72">
        <f t="shared" si="1"/>
        <v>4900</v>
      </c>
      <c r="G10" s="72"/>
      <c r="H10" s="72"/>
      <c r="I10" s="72"/>
      <c r="J10" s="17"/>
    </row>
    <row r="11" spans="1:11" ht="19.5" customHeight="1">
      <c r="A11" s="17"/>
      <c r="B11" s="17" t="s">
        <v>183</v>
      </c>
      <c r="C11" s="17">
        <v>211</v>
      </c>
      <c r="D11" s="72">
        <f>1!E42</f>
        <v>453000</v>
      </c>
      <c r="E11" s="72">
        <f t="shared" si="0"/>
        <v>453000</v>
      </c>
      <c r="F11" s="72">
        <f t="shared" si="1"/>
        <v>453000</v>
      </c>
      <c r="G11" s="288">
        <v>315600</v>
      </c>
      <c r="H11" s="288">
        <v>62900</v>
      </c>
      <c r="I11" s="288">
        <v>26400</v>
      </c>
      <c r="J11" s="17"/>
      <c r="K11" s="71"/>
    </row>
    <row r="12" spans="1:11" ht="19.5" customHeight="1">
      <c r="A12" s="17" t="s">
        <v>184</v>
      </c>
      <c r="B12" s="17" t="s">
        <v>185</v>
      </c>
      <c r="C12" s="17">
        <v>211</v>
      </c>
      <c r="D12" s="72">
        <f>1!E45</f>
        <v>320100</v>
      </c>
      <c r="E12" s="72">
        <f t="shared" si="0"/>
        <v>320100</v>
      </c>
      <c r="F12" s="72">
        <f t="shared" si="1"/>
        <v>320100</v>
      </c>
      <c r="G12" s="72">
        <v>201300</v>
      </c>
      <c r="H12" s="72">
        <v>35500</v>
      </c>
      <c r="I12" s="72">
        <v>17100</v>
      </c>
      <c r="J12" s="17"/>
      <c r="K12" s="71"/>
    </row>
    <row r="13" spans="1:10" ht="19.5" customHeight="1">
      <c r="A13" s="17"/>
      <c r="B13" s="17" t="s">
        <v>186</v>
      </c>
      <c r="C13" s="17">
        <v>211</v>
      </c>
      <c r="D13" s="72">
        <f>1!E53</f>
        <v>37500</v>
      </c>
      <c r="E13" s="72">
        <f t="shared" si="0"/>
        <v>37500</v>
      </c>
      <c r="F13" s="72">
        <f t="shared" si="1"/>
        <v>37500</v>
      </c>
      <c r="G13" s="72"/>
      <c r="H13" s="72">
        <v>900</v>
      </c>
      <c r="I13" s="72"/>
      <c r="J13" s="17"/>
    </row>
    <row r="14" spans="1:10" ht="19.5" customHeight="1">
      <c r="A14" s="17" t="s">
        <v>276</v>
      </c>
      <c r="B14" s="17" t="s">
        <v>277</v>
      </c>
      <c r="C14" s="17">
        <v>211</v>
      </c>
      <c r="D14" s="72">
        <f>1!E57</f>
        <v>3000</v>
      </c>
      <c r="E14" s="72">
        <f>SUM(F14+J14)</f>
        <v>3000</v>
      </c>
      <c r="F14" s="72">
        <f>D14</f>
        <v>3000</v>
      </c>
      <c r="G14" s="72"/>
      <c r="H14" s="72"/>
      <c r="I14" s="72"/>
      <c r="J14" s="17"/>
    </row>
    <row r="15" spans="1:10" ht="19.5" customHeight="1" hidden="1">
      <c r="A15" s="17"/>
      <c r="B15" s="17"/>
      <c r="C15" s="17"/>
      <c r="D15" s="72"/>
      <c r="E15" s="72"/>
      <c r="F15" s="72"/>
      <c r="G15" s="72"/>
      <c r="H15" s="72"/>
      <c r="I15" s="72"/>
      <c r="J15" s="17"/>
    </row>
    <row r="16" spans="1:10" ht="19.5" customHeight="1">
      <c r="A16" s="17" t="s">
        <v>187</v>
      </c>
      <c r="B16" s="17" t="s">
        <v>188</v>
      </c>
      <c r="C16" s="17">
        <v>211</v>
      </c>
      <c r="D16" s="72">
        <f>1!E101</f>
        <v>2848400</v>
      </c>
      <c r="E16" s="72">
        <f t="shared" si="0"/>
        <v>2848400</v>
      </c>
      <c r="F16" s="72">
        <f t="shared" si="1"/>
        <v>2848400</v>
      </c>
      <c r="G16" s="72"/>
      <c r="H16" s="72"/>
      <c r="I16" s="72"/>
      <c r="J16" s="17"/>
    </row>
    <row r="17" spans="1:10" ht="19.5" customHeight="1">
      <c r="A17" s="17"/>
      <c r="B17" s="17" t="s">
        <v>189</v>
      </c>
      <c r="C17" s="17">
        <v>211</v>
      </c>
      <c r="D17" s="72">
        <f>1!E117</f>
        <v>754000</v>
      </c>
      <c r="E17" s="72">
        <f t="shared" si="0"/>
        <v>754000</v>
      </c>
      <c r="F17" s="72">
        <f t="shared" si="1"/>
        <v>754000</v>
      </c>
      <c r="G17" s="72">
        <v>425780</v>
      </c>
      <c r="H17" s="72">
        <f>68540+10740</f>
        <v>79280</v>
      </c>
      <c r="I17" s="72">
        <v>34700</v>
      </c>
      <c r="J17" s="17"/>
    </row>
    <row r="18" spans="1:10" ht="19.5" customHeight="1">
      <c r="A18" s="17" t="s">
        <v>190</v>
      </c>
      <c r="B18" s="17" t="s">
        <v>191</v>
      </c>
      <c r="C18" s="17">
        <v>211</v>
      </c>
      <c r="D18" s="72">
        <f>1!E127</f>
        <v>111200</v>
      </c>
      <c r="E18" s="72">
        <f t="shared" si="0"/>
        <v>111200</v>
      </c>
      <c r="F18" s="72">
        <f t="shared" si="1"/>
        <v>111200</v>
      </c>
      <c r="G18" s="72">
        <v>40000</v>
      </c>
      <c r="H18" s="72">
        <v>8000</v>
      </c>
      <c r="I18" s="72">
        <v>3000</v>
      </c>
      <c r="J18" s="72"/>
    </row>
    <row r="19" spans="1:10" ht="19.5" customHeight="1" hidden="1">
      <c r="A19" s="17"/>
      <c r="B19" s="17" t="s">
        <v>382</v>
      </c>
      <c r="C19" s="17">
        <v>211</v>
      </c>
      <c r="D19" s="72">
        <f>1!E135</f>
        <v>0</v>
      </c>
      <c r="E19" s="72">
        <f t="shared" si="0"/>
        <v>0</v>
      </c>
      <c r="F19" s="72">
        <f t="shared" si="1"/>
        <v>0</v>
      </c>
      <c r="G19" s="72"/>
      <c r="H19" s="72"/>
      <c r="I19" s="72"/>
      <c r="J19" s="72"/>
    </row>
    <row r="20" spans="1:10" s="52" customFormat="1" ht="19.5" customHeight="1">
      <c r="A20" s="614" t="s">
        <v>557</v>
      </c>
      <c r="B20" s="615"/>
      <c r="C20" s="615"/>
      <c r="D20" s="106">
        <f>SUM(D6:D19)</f>
        <v>4738100</v>
      </c>
      <c r="E20" s="106">
        <f>SUM(F20+J20)</f>
        <v>4738100</v>
      </c>
      <c r="F20" s="106">
        <f>SUM(F6:F19)</f>
        <v>4738100</v>
      </c>
      <c r="G20" s="106">
        <f>SUM(G6:G18)</f>
        <v>982680</v>
      </c>
      <c r="H20" s="106">
        <f>SUM(H6:H18)</f>
        <v>186580</v>
      </c>
      <c r="I20" s="106">
        <f>SUM(I6:I18)</f>
        <v>81200</v>
      </c>
      <c r="J20" s="106">
        <f>SUM(J6:J18)</f>
        <v>0</v>
      </c>
    </row>
    <row r="22" ht="12.75">
      <c r="A22" s="59"/>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firstPageNumber="63" useFirstPageNumber="1" horizontalDpi="300" verticalDpi="300" orientation="landscape" paperSize="9" scale="90" r:id="rId1"/>
  <headerFooter alignWithMargins="0">
    <oddHeader>&amp;RZałącznik nr 6
do uchwały Zarządu Powiatu nr 260/09
z dnia 9.11.2009 r.</oddHeader>
    <oddFooter>&amp;C&amp;P</oddFoot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70" t="s">
        <v>739</v>
      </c>
      <c r="B1" s="570"/>
      <c r="C1" s="570"/>
      <c r="D1" s="570"/>
      <c r="E1" s="570"/>
      <c r="F1" s="570"/>
      <c r="G1" s="570"/>
      <c r="H1" s="570"/>
      <c r="I1" s="570"/>
      <c r="J1" s="570"/>
    </row>
    <row r="2" spans="1:6" ht="15.75">
      <c r="A2" s="9"/>
      <c r="B2" s="9"/>
      <c r="C2" s="9"/>
      <c r="D2" s="9"/>
      <c r="E2" s="9"/>
      <c r="F2" s="9"/>
    </row>
    <row r="3" spans="1:10" ht="13.5" customHeight="1">
      <c r="A3" s="4"/>
      <c r="B3" s="4"/>
      <c r="C3" s="4"/>
      <c r="D3" s="4"/>
      <c r="E3" s="4"/>
      <c r="F3" s="4"/>
      <c r="J3" s="49" t="s">
        <v>476</v>
      </c>
    </row>
    <row r="4" spans="1:10" ht="20.25" customHeight="1">
      <c r="A4" s="580" t="s">
        <v>437</v>
      </c>
      <c r="B4" s="616" t="s">
        <v>438</v>
      </c>
      <c r="C4" s="616" t="s">
        <v>561</v>
      </c>
      <c r="D4" s="566" t="s">
        <v>547</v>
      </c>
      <c r="E4" s="566" t="s">
        <v>593</v>
      </c>
      <c r="F4" s="566" t="s">
        <v>510</v>
      </c>
      <c r="G4" s="566"/>
      <c r="H4" s="566"/>
      <c r="I4" s="566"/>
      <c r="J4" s="566"/>
    </row>
    <row r="5" spans="1:10" ht="18" customHeight="1">
      <c r="A5" s="580"/>
      <c r="B5" s="617"/>
      <c r="C5" s="617"/>
      <c r="D5" s="580"/>
      <c r="E5" s="566"/>
      <c r="F5" s="566" t="s">
        <v>545</v>
      </c>
      <c r="G5" s="566" t="s">
        <v>441</v>
      </c>
      <c r="H5" s="566"/>
      <c r="I5" s="566"/>
      <c r="J5" s="566" t="s">
        <v>546</v>
      </c>
    </row>
    <row r="6" spans="1:10" ht="69" customHeight="1">
      <c r="A6" s="580"/>
      <c r="B6" s="618"/>
      <c r="C6" s="618"/>
      <c r="D6" s="580"/>
      <c r="E6" s="566"/>
      <c r="F6" s="566"/>
      <c r="G6" s="14" t="s">
        <v>543</v>
      </c>
      <c r="H6" s="14" t="s">
        <v>544</v>
      </c>
      <c r="I6" s="14" t="s">
        <v>594</v>
      </c>
      <c r="J6" s="566"/>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3">
        <f>1!E54</f>
        <v>28600</v>
      </c>
      <c r="E8" s="103">
        <f>F8+J8</f>
        <v>28600</v>
      </c>
      <c r="F8" s="103">
        <f>D8</f>
        <v>28600</v>
      </c>
      <c r="G8" s="103"/>
      <c r="H8" s="103"/>
      <c r="I8" s="103"/>
      <c r="J8" s="103"/>
    </row>
    <row r="9" spans="1:10" ht="24.75" customHeight="1">
      <c r="A9" s="619" t="s">
        <v>557</v>
      </c>
      <c r="B9" s="620"/>
      <c r="C9" s="620"/>
      <c r="D9" s="104">
        <f aca="true" t="shared" si="0" ref="D9:J9">SUM(D8:D8)</f>
        <v>28600</v>
      </c>
      <c r="E9" s="104">
        <f t="shared" si="0"/>
        <v>28600</v>
      </c>
      <c r="F9" s="104">
        <f t="shared" si="0"/>
        <v>28600</v>
      </c>
      <c r="G9" s="104">
        <f t="shared" si="0"/>
        <v>0</v>
      </c>
      <c r="H9" s="104">
        <f t="shared" si="0"/>
        <v>0</v>
      </c>
      <c r="I9" s="104">
        <f t="shared" si="0"/>
        <v>0</v>
      </c>
      <c r="J9" s="104">
        <f t="shared" si="0"/>
        <v>0</v>
      </c>
    </row>
    <row r="11" spans="1:7" ht="12.75">
      <c r="A11" s="59"/>
      <c r="G11"/>
    </row>
  </sheetData>
  <sheetProtection/>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firstPageNumber="64" useFirstPageNumber="1" horizontalDpi="600" verticalDpi="600" orientation="landscape" paperSize="9" scale="90" r:id="rId1"/>
  <headerFooter alignWithMargins="0">
    <oddHeader>&amp;RZałącznik nr 7
do uchwały Zarządu Powiatu nr 260/09
z dnia 9.11.2009 r.</oddHeader>
    <oddFooter>&amp;C&amp;P</oddFooter>
  </headerFooter>
</worksheet>
</file>

<file path=xl/worksheets/sheet9.xml><?xml version="1.0" encoding="utf-8"?>
<worksheet xmlns="http://schemas.openxmlformats.org/spreadsheetml/2006/main" xmlns:r="http://schemas.openxmlformats.org/officeDocument/2006/relationships">
  <dimension ref="A1:CB26"/>
  <sheetViews>
    <sheetView zoomScalePageLayoutView="0" workbookViewId="0" topLeftCell="A1">
      <selection activeCell="C14" sqref="C1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70" t="s">
        <v>737</v>
      </c>
      <c r="B1" s="570"/>
      <c r="C1" s="570"/>
      <c r="D1" s="570"/>
      <c r="E1" s="570"/>
      <c r="F1" s="570"/>
      <c r="G1" s="570"/>
      <c r="H1" s="570"/>
      <c r="I1" s="570"/>
      <c r="J1" s="570"/>
      <c r="K1" s="570"/>
    </row>
    <row r="3" ht="12.75">
      <c r="K3" s="49" t="s">
        <v>476</v>
      </c>
    </row>
    <row r="4" spans="1:80" ht="20.25" customHeight="1">
      <c r="A4" s="580" t="s">
        <v>437</v>
      </c>
      <c r="B4" s="616" t="s">
        <v>438</v>
      </c>
      <c r="C4" s="616" t="s">
        <v>439</v>
      </c>
      <c r="D4" s="566" t="s">
        <v>547</v>
      </c>
      <c r="E4" s="566" t="s">
        <v>198</v>
      </c>
      <c r="F4" s="566" t="s">
        <v>510</v>
      </c>
      <c r="G4" s="566"/>
      <c r="H4" s="566"/>
      <c r="I4" s="566"/>
      <c r="J4" s="566"/>
      <c r="K4" s="566"/>
      <c r="BY4" s="1"/>
      <c r="BZ4" s="1"/>
      <c r="CA4" s="1"/>
      <c r="CB4" s="1"/>
    </row>
    <row r="5" spans="1:80" ht="18" customHeight="1">
      <c r="A5" s="580"/>
      <c r="B5" s="617"/>
      <c r="C5" s="617"/>
      <c r="D5" s="580"/>
      <c r="E5" s="566"/>
      <c r="F5" s="566" t="s">
        <v>545</v>
      </c>
      <c r="G5" s="566" t="s">
        <v>441</v>
      </c>
      <c r="H5" s="566"/>
      <c r="I5" s="566"/>
      <c r="J5" s="14"/>
      <c r="K5" s="566" t="s">
        <v>546</v>
      </c>
      <c r="BY5" s="1"/>
      <c r="BZ5" s="1"/>
      <c r="CA5" s="1"/>
      <c r="CB5" s="1"/>
    </row>
    <row r="6" spans="1:80" ht="69" customHeight="1">
      <c r="A6" s="580"/>
      <c r="B6" s="618"/>
      <c r="C6" s="618"/>
      <c r="D6" s="580"/>
      <c r="E6" s="566"/>
      <c r="F6" s="566"/>
      <c r="G6" s="14" t="s">
        <v>543</v>
      </c>
      <c r="H6" s="14" t="s">
        <v>544</v>
      </c>
      <c r="I6" s="102" t="s">
        <v>197</v>
      </c>
      <c r="J6" s="102" t="s">
        <v>216</v>
      </c>
      <c r="K6" s="566"/>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2">
        <v>600</v>
      </c>
      <c r="B8" s="105">
        <v>60014</v>
      </c>
      <c r="C8" s="105">
        <v>2310</v>
      </c>
      <c r="D8" s="72">
        <f>1!F20</f>
        <v>0</v>
      </c>
      <c r="E8" s="72">
        <f>F8+K8</f>
        <v>0</v>
      </c>
      <c r="F8" s="72">
        <f aca="true" t="shared" si="0" ref="F8:F16">D8</f>
        <v>0</v>
      </c>
      <c r="G8" s="72"/>
      <c r="H8" s="72"/>
      <c r="I8" s="72"/>
      <c r="J8" s="72"/>
      <c r="K8" s="72"/>
      <c r="BY8" s="1"/>
      <c r="BZ8" s="1"/>
      <c r="CA8" s="1"/>
      <c r="CB8" s="1"/>
    </row>
    <row r="9" spans="1:80" ht="19.5" customHeight="1">
      <c r="A9" s="72">
        <v>600</v>
      </c>
      <c r="B9" s="105">
        <v>60014</v>
      </c>
      <c r="C9" s="244">
        <v>6610</v>
      </c>
      <c r="D9" s="72">
        <f>1!G26</f>
        <v>1083284</v>
      </c>
      <c r="E9" s="72">
        <f>F9+K9</f>
        <v>1083284</v>
      </c>
      <c r="F9" s="72"/>
      <c r="G9" s="72"/>
      <c r="H9" s="72"/>
      <c r="I9" s="72"/>
      <c r="J9" s="72"/>
      <c r="K9" s="72">
        <f>D9</f>
        <v>1083284</v>
      </c>
      <c r="BY9" s="1"/>
      <c r="BZ9" s="1"/>
      <c r="CA9" s="1"/>
      <c r="CB9" s="1"/>
    </row>
    <row r="10" spans="1:80" ht="19.5" customHeight="1" hidden="1">
      <c r="A10" s="72"/>
      <c r="B10" s="105">
        <v>60014</v>
      </c>
      <c r="C10" s="244">
        <v>6610</v>
      </c>
      <c r="D10" s="72">
        <f>1!G27</f>
        <v>0</v>
      </c>
      <c r="E10" s="72">
        <f>D10</f>
        <v>0</v>
      </c>
      <c r="F10" s="72">
        <f t="shared" si="0"/>
        <v>0</v>
      </c>
      <c r="G10" s="72"/>
      <c r="H10" s="72"/>
      <c r="I10" s="72"/>
      <c r="J10" s="72"/>
      <c r="K10" s="72"/>
      <c r="BY10" s="1"/>
      <c r="BZ10" s="1"/>
      <c r="CA10" s="1"/>
      <c r="CB10" s="1"/>
    </row>
    <row r="11" spans="1:80" ht="19.5" customHeight="1" hidden="1">
      <c r="A11" s="72">
        <v>801</v>
      </c>
      <c r="B11" s="105">
        <v>80195</v>
      </c>
      <c r="C11" s="244">
        <v>2008</v>
      </c>
      <c r="D11" s="72"/>
      <c r="E11" s="72">
        <f>D11</f>
        <v>0</v>
      </c>
      <c r="F11" s="72">
        <f t="shared" si="0"/>
        <v>0</v>
      </c>
      <c r="G11" s="72"/>
      <c r="H11" s="72"/>
      <c r="I11" s="72"/>
      <c r="J11" s="72"/>
      <c r="K11" s="72"/>
      <c r="BY11" s="1"/>
      <c r="BZ11" s="1"/>
      <c r="CA11" s="1"/>
      <c r="CB11" s="1"/>
    </row>
    <row r="12" spans="1:80" ht="19.5" customHeight="1" hidden="1">
      <c r="A12" s="72"/>
      <c r="B12" s="105">
        <v>80195</v>
      </c>
      <c r="C12" s="244">
        <v>2009</v>
      </c>
      <c r="D12" s="72"/>
      <c r="E12" s="72">
        <f>D12</f>
        <v>0</v>
      </c>
      <c r="F12" s="72">
        <f t="shared" si="0"/>
        <v>0</v>
      </c>
      <c r="G12" s="72"/>
      <c r="H12" s="72"/>
      <c r="I12" s="72"/>
      <c r="J12" s="72"/>
      <c r="K12" s="72"/>
      <c r="BY12" s="1"/>
      <c r="BZ12" s="1"/>
      <c r="CA12" s="1"/>
      <c r="CB12" s="1"/>
    </row>
    <row r="13" spans="1:80" ht="19.5" customHeight="1" hidden="1">
      <c r="A13" s="72">
        <v>921</v>
      </c>
      <c r="B13" s="105">
        <v>92195</v>
      </c>
      <c r="C13" s="244">
        <v>6300</v>
      </c>
      <c r="D13" s="72">
        <f>1!E162</f>
        <v>0</v>
      </c>
      <c r="E13" s="72">
        <f>F13+K13</f>
        <v>0</v>
      </c>
      <c r="F13" s="72"/>
      <c r="G13" s="72"/>
      <c r="H13" s="72"/>
      <c r="I13" s="72"/>
      <c r="J13" s="72"/>
      <c r="K13" s="72"/>
      <c r="BY13" s="1"/>
      <c r="BZ13" s="1"/>
      <c r="CA13" s="1"/>
      <c r="CB13" s="1"/>
    </row>
    <row r="14" spans="1:80" ht="19.5" customHeight="1">
      <c r="A14" s="72">
        <v>600</v>
      </c>
      <c r="B14" s="105">
        <v>60014</v>
      </c>
      <c r="C14" s="244">
        <v>6300</v>
      </c>
      <c r="D14" s="72">
        <f>1!G25</f>
        <v>1026300</v>
      </c>
      <c r="E14" s="72">
        <f>D14</f>
        <v>1026300</v>
      </c>
      <c r="F14" s="72"/>
      <c r="G14" s="72"/>
      <c r="H14" s="72"/>
      <c r="I14" s="72"/>
      <c r="J14" s="72"/>
      <c r="K14" s="72">
        <f>D14</f>
        <v>1026300</v>
      </c>
      <c r="BY14" s="1"/>
      <c r="BZ14" s="1"/>
      <c r="CA14" s="1"/>
      <c r="CB14" s="1"/>
    </row>
    <row r="15" spans="1:80" ht="19.5" customHeight="1">
      <c r="A15" s="72">
        <v>852</v>
      </c>
      <c r="B15" s="105">
        <v>85201</v>
      </c>
      <c r="C15" s="105">
        <v>2320</v>
      </c>
      <c r="D15" s="72">
        <f>1!E104</f>
        <v>67200</v>
      </c>
      <c r="E15" s="72">
        <f>F15+K15</f>
        <v>67200</v>
      </c>
      <c r="F15" s="72">
        <f t="shared" si="0"/>
        <v>67200</v>
      </c>
      <c r="G15" s="72"/>
      <c r="H15" s="72"/>
      <c r="I15" s="72"/>
      <c r="J15" s="72"/>
      <c r="K15" s="72"/>
      <c r="BY15" s="1"/>
      <c r="BZ15" s="1"/>
      <c r="CA15" s="1"/>
      <c r="CB15" s="1"/>
    </row>
    <row r="16" spans="1:80" ht="19.5" customHeight="1">
      <c r="A16" s="72"/>
      <c r="B16" s="105">
        <v>85204</v>
      </c>
      <c r="C16" s="105">
        <v>2320</v>
      </c>
      <c r="D16" s="72">
        <f>1!E120</f>
        <v>326000</v>
      </c>
      <c r="E16" s="72">
        <f>F16+K16</f>
        <v>326000</v>
      </c>
      <c r="F16" s="72">
        <f t="shared" si="0"/>
        <v>326000</v>
      </c>
      <c r="G16" s="72"/>
      <c r="H16" s="72"/>
      <c r="I16" s="72"/>
      <c r="J16" s="72"/>
      <c r="K16" s="72"/>
      <c r="BY16" s="1"/>
      <c r="BZ16" s="1"/>
      <c r="CA16" s="1"/>
      <c r="CB16" s="1"/>
    </row>
    <row r="17" spans="1:80" ht="19.5" customHeight="1" hidden="1">
      <c r="A17" s="72">
        <v>853</v>
      </c>
      <c r="B17" s="105">
        <v>85395</v>
      </c>
      <c r="C17" s="105">
        <v>2310</v>
      </c>
      <c r="D17" s="72"/>
      <c r="E17" s="72"/>
      <c r="F17" s="72">
        <f aca="true" t="shared" si="1" ref="E17:F21">E17</f>
        <v>0</v>
      </c>
      <c r="G17" s="72"/>
      <c r="H17" s="72"/>
      <c r="I17" s="72"/>
      <c r="J17" s="289"/>
      <c r="K17" s="72"/>
      <c r="BY17" s="1"/>
      <c r="BZ17" s="1"/>
      <c r="CA17" s="1"/>
      <c r="CB17" s="1"/>
    </row>
    <row r="18" spans="1:80" ht="19.5" customHeight="1" hidden="1">
      <c r="A18" s="72">
        <v>853</v>
      </c>
      <c r="B18" s="105">
        <v>85395</v>
      </c>
      <c r="C18" s="105">
        <v>2320</v>
      </c>
      <c r="D18" s="72">
        <f>1!E143</f>
        <v>0</v>
      </c>
      <c r="E18" s="72">
        <f>D18</f>
        <v>0</v>
      </c>
      <c r="F18" s="72">
        <f>E18</f>
        <v>0</v>
      </c>
      <c r="G18" s="72"/>
      <c r="H18" s="72"/>
      <c r="I18" s="72"/>
      <c r="J18" s="288"/>
      <c r="K18" s="72"/>
      <c r="BY18" s="1"/>
      <c r="BZ18" s="1"/>
      <c r="CA18" s="1"/>
      <c r="CB18" s="1"/>
    </row>
    <row r="19" spans="1:80" ht="19.5" customHeight="1">
      <c r="A19" s="72">
        <v>854</v>
      </c>
      <c r="B19" s="105">
        <v>85415</v>
      </c>
      <c r="C19" s="105">
        <v>2330</v>
      </c>
      <c r="D19" s="72">
        <f>1!E159</f>
        <v>15000</v>
      </c>
      <c r="E19" s="72">
        <f t="shared" si="1"/>
        <v>15000</v>
      </c>
      <c r="F19" s="72">
        <f t="shared" si="1"/>
        <v>15000</v>
      </c>
      <c r="G19" s="72"/>
      <c r="H19" s="72"/>
      <c r="I19" s="72"/>
      <c r="J19" s="288"/>
      <c r="K19" s="72"/>
      <c r="BY19" s="1"/>
      <c r="BZ19" s="1"/>
      <c r="CA19" s="1"/>
      <c r="CB19" s="1"/>
    </row>
    <row r="20" spans="1:80" ht="19.5" customHeight="1" hidden="1">
      <c r="A20" s="72"/>
      <c r="B20" s="105">
        <v>85395</v>
      </c>
      <c r="C20" s="105">
        <v>2008</v>
      </c>
      <c r="D20" s="72"/>
      <c r="E20" s="72">
        <f t="shared" si="1"/>
        <v>0</v>
      </c>
      <c r="F20" s="72">
        <f t="shared" si="1"/>
        <v>0</v>
      </c>
      <c r="G20" s="72"/>
      <c r="H20" s="72">
        <f>(2!I578+2!I579+2!I580+2!I581)*85%</f>
        <v>141955.94999999998</v>
      </c>
      <c r="I20" s="72"/>
      <c r="J20" s="72">
        <f>2!J570</f>
        <v>0</v>
      </c>
      <c r="K20" s="72"/>
      <c r="BY20" s="1"/>
      <c r="BZ20" s="1"/>
      <c r="CA20" s="1"/>
      <c r="CB20" s="1"/>
    </row>
    <row r="21" spans="1:80" ht="19.5" customHeight="1" hidden="1">
      <c r="A21" s="72"/>
      <c r="B21" s="105">
        <v>85395</v>
      </c>
      <c r="C21" s="105">
        <v>2009</v>
      </c>
      <c r="D21" s="72"/>
      <c r="E21" s="72">
        <f t="shared" si="1"/>
        <v>0</v>
      </c>
      <c r="F21" s="72">
        <f t="shared" si="1"/>
        <v>0</v>
      </c>
      <c r="G21" s="72"/>
      <c r="H21" s="72" t="e">
        <f>(2!I579+2!I581)*#REF!</f>
        <v>#REF!</v>
      </c>
      <c r="I21" s="72"/>
      <c r="J21" s="72" t="e">
        <f>2!J571*8!#REF!+5</f>
        <v>#REF!</v>
      </c>
      <c r="K21" s="72"/>
      <c r="BY21" s="1"/>
      <c r="BZ21" s="1"/>
      <c r="CA21" s="1"/>
      <c r="CB21" s="1"/>
    </row>
    <row r="22" spans="1:80" ht="19.5" customHeight="1" hidden="1">
      <c r="A22" s="72"/>
      <c r="B22" s="105">
        <v>85395</v>
      </c>
      <c r="C22" s="105">
        <v>6208</v>
      </c>
      <c r="D22" s="72">
        <f>1!E139</f>
        <v>0</v>
      </c>
      <c r="E22" s="72">
        <f>K22</f>
        <v>0</v>
      </c>
      <c r="F22" s="72"/>
      <c r="G22" s="72"/>
      <c r="H22" s="72"/>
      <c r="I22" s="72"/>
      <c r="J22" s="72"/>
      <c r="K22" s="72"/>
      <c r="BY22" s="1"/>
      <c r="BZ22" s="1"/>
      <c r="CA22" s="1"/>
      <c r="CB22" s="1"/>
    </row>
    <row r="23" spans="1:80" ht="19.5" customHeight="1" hidden="1">
      <c r="A23" s="72"/>
      <c r="B23" s="105">
        <v>85395</v>
      </c>
      <c r="C23" s="105">
        <v>6209</v>
      </c>
      <c r="D23" s="72">
        <f>1!E140</f>
        <v>0</v>
      </c>
      <c r="E23" s="72">
        <f>K23</f>
        <v>0</v>
      </c>
      <c r="F23" s="72"/>
      <c r="G23" s="72"/>
      <c r="H23" s="72"/>
      <c r="I23" s="72"/>
      <c r="J23" s="72"/>
      <c r="K23" s="72"/>
      <c r="BY23" s="1"/>
      <c r="BZ23" s="1"/>
      <c r="CA23" s="1"/>
      <c r="CB23" s="1"/>
    </row>
    <row r="24" spans="1:80" ht="19.5" customHeight="1" hidden="1">
      <c r="A24" s="72">
        <v>854</v>
      </c>
      <c r="B24" s="105">
        <v>85415</v>
      </c>
      <c r="C24" s="105">
        <v>2330</v>
      </c>
      <c r="D24" s="72">
        <f>1!F154</f>
        <v>0</v>
      </c>
      <c r="E24" s="72">
        <f>F24+K24</f>
        <v>0</v>
      </c>
      <c r="F24" s="72">
        <f>D24</f>
        <v>0</v>
      </c>
      <c r="G24" s="72"/>
      <c r="H24" s="72"/>
      <c r="I24" s="72"/>
      <c r="J24" s="72"/>
      <c r="K24" s="72"/>
      <c r="BY24" s="1"/>
      <c r="BZ24" s="1"/>
      <c r="CA24" s="1"/>
      <c r="CB24" s="1"/>
    </row>
    <row r="25" spans="1:80" ht="19.5" customHeight="1" hidden="1">
      <c r="A25" s="72"/>
      <c r="B25" s="105"/>
      <c r="C25" s="105"/>
      <c r="D25" s="72"/>
      <c r="E25" s="72"/>
      <c r="F25" s="72"/>
      <c r="G25" s="72"/>
      <c r="H25" s="72"/>
      <c r="I25" s="72"/>
      <c r="J25" s="72"/>
      <c r="K25" s="72"/>
      <c r="BY25" s="1"/>
      <c r="BZ25" s="1"/>
      <c r="CA25" s="1"/>
      <c r="CB25" s="1"/>
    </row>
    <row r="26" spans="1:76" s="108" customFormat="1" ht="24.75" customHeight="1">
      <c r="A26" s="621" t="s">
        <v>557</v>
      </c>
      <c r="B26" s="622"/>
      <c r="C26" s="623"/>
      <c r="D26" s="107">
        <f aca="true" t="shared" si="2" ref="D26:K26">SUM(D8:D25)</f>
        <v>2517784</v>
      </c>
      <c r="E26" s="107">
        <f t="shared" si="2"/>
        <v>2517784</v>
      </c>
      <c r="F26" s="107">
        <f t="shared" si="2"/>
        <v>408200</v>
      </c>
      <c r="G26" s="107">
        <f t="shared" si="2"/>
        <v>0</v>
      </c>
      <c r="H26" s="107">
        <f>SUM(H8:H19)</f>
        <v>0</v>
      </c>
      <c r="I26" s="107">
        <f t="shared" si="2"/>
        <v>0</v>
      </c>
      <c r="J26" s="107">
        <f>SUM(J8:J19)</f>
        <v>0</v>
      </c>
      <c r="K26" s="107">
        <f t="shared" si="2"/>
        <v>2109584</v>
      </c>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row>
  </sheetData>
  <sheetProtection/>
  <mergeCells count="11">
    <mergeCell ref="F5:F6"/>
    <mergeCell ref="G5:I5"/>
    <mergeCell ref="K5:K6"/>
    <mergeCell ref="A26:C26"/>
    <mergeCell ref="A1:K1"/>
    <mergeCell ref="A4:A6"/>
    <mergeCell ref="B4:B6"/>
    <mergeCell ref="C4:C6"/>
    <mergeCell ref="D4:D6"/>
    <mergeCell ref="E4:E6"/>
    <mergeCell ref="F4:K4"/>
  </mergeCells>
  <printOptions horizontalCentered="1"/>
  <pageMargins left="0.5905511811023623" right="0.5905511811023623" top="1.1" bottom="0.3937007874015748" header="0.5118110236220472" footer="0.5118110236220472"/>
  <pageSetup firstPageNumber="65" useFirstPageNumber="1" horizontalDpi="600" verticalDpi="600" orientation="landscape" paperSize="9" scale="90" r:id="rId1"/>
  <headerFooter alignWithMargins="0">
    <oddHeader>&amp;RZałącznik nr 8
do uchwały Zarządu Powiatu 
nr 260/09
z dnia 9.11.2009 r.</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2009-11-09T11:00:10Z</cp:lastPrinted>
  <dcterms:created xsi:type="dcterms:W3CDTF">1998-12-09T13:02:10Z</dcterms:created>
  <dcterms:modified xsi:type="dcterms:W3CDTF">2009-11-09T11:00:19Z</dcterms:modified>
  <cp:category/>
  <cp:version/>
  <cp:contentType/>
  <cp:contentStatus/>
</cp:coreProperties>
</file>