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activeTab="1"/>
  </bookViews>
  <sheets>
    <sheet name="1" sheetId="1" r:id="rId1"/>
    <sheet name="2" sheetId="2" r:id="rId2"/>
    <sheet name="3" sheetId="3" r:id="rId3"/>
    <sheet name="3a"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7" sheetId="17" r:id="rId17"/>
    <sheet name="16" sheetId="18" r:id="rId18"/>
  </sheets>
  <externalReferences>
    <externalReference r:id="rId21"/>
  </externalReferences>
  <definedNames/>
  <calcPr fullCalcOnLoad="1"/>
</workbook>
</file>

<file path=xl/sharedStrings.xml><?xml version="1.0" encoding="utf-8"?>
<sst xmlns="http://schemas.openxmlformats.org/spreadsheetml/2006/main" count="2109" uniqueCount="828">
  <si>
    <t xml:space="preserve">Rozwiązanie  poważnych  problemów  komunikacyjnych w  północno-wschodniej  części  sieci  dróg  gminy  Łubianka   poprzez  budowę  dróg   gminnych  nr  100400C  w  miejscowości  Warszewice   i  w  miejscowości  Brąchnówko wraz  z  budową  skrzyżowania z  ruchem  okrężnym   u  zbiegu   dróg  : powiatowej   nr  2016  Łubianka –Kończewice  (  ul.  Ks. S.  Frelichowskiego  ) ,  gminnych  nr   100399C (  ul. Ks.  Ins.  Groszkowskiego )   i  100400C  (  ul.  Zawiszy  Czarnego  )   w  miejscowości  Warszewice  </t>
  </si>
  <si>
    <t xml:space="preserve">Wydatki  bieżące  uczestniczące w  programach  UE </t>
  </si>
  <si>
    <t xml:space="preserve">wydatki   na  zadania  stanutowe jednostek  organiacyjnych </t>
  </si>
  <si>
    <t xml:space="preserve">Wynagrodzenia  </t>
  </si>
  <si>
    <t>Składki  naliczane  od  wynagrodzeń  ,</t>
  </si>
  <si>
    <t xml:space="preserve">Inne  paragrafy  wynagrodzeń </t>
  </si>
  <si>
    <t>w  tym   :</t>
  </si>
  <si>
    <t>składki  z  UE</t>
  </si>
  <si>
    <t>Wynagrodzenia   pozostałe   z  UE</t>
  </si>
  <si>
    <t>wynagrodzenia osobowe  z  UE</t>
  </si>
  <si>
    <t>ZFN</t>
  </si>
  <si>
    <t>Łącznie  wynagrodzenia i  składki   UE</t>
  </si>
  <si>
    <t xml:space="preserve">Wydatki na poręczenia  i  gwarancje </t>
  </si>
  <si>
    <t>WYDATKI  JEDNOSTEK</t>
  </si>
  <si>
    <t xml:space="preserve">Wydatki   na  wynagrodzenia  i  składki  z  nimi  związane </t>
  </si>
  <si>
    <t xml:space="preserve">w  tym </t>
  </si>
  <si>
    <t xml:space="preserve">Świadczenia  na  rzecz  osób  fizycznych </t>
  </si>
  <si>
    <t>w  tym :</t>
  </si>
  <si>
    <t>z tego</t>
  </si>
  <si>
    <t xml:space="preserve">inwestycje  i  zakupy  inwestycyjne </t>
  </si>
  <si>
    <t>na  projekty  i  programy   z  udziałem  środków   UE</t>
  </si>
  <si>
    <t xml:space="preserve">zakup  i  objęcie  akcji  udziałów  oraz  wniesienie  wkładów  do  spółek  prawa  handlowego </t>
  </si>
  <si>
    <t>1.6</t>
  </si>
  <si>
    <t>Inwestycje  UE</t>
  </si>
  <si>
    <t>Razem   UE</t>
  </si>
  <si>
    <t>Zadania  bieżące  UE</t>
  </si>
  <si>
    <t xml:space="preserve">Dotacje  celowe przekazane gminie  na  inwestycje  i  zakupy  inwestycyjne  realizowane  na  podstawie  porozumień  (  umów ) pomiędzy  jednostami  samorządu  terytorialnego </t>
  </si>
  <si>
    <t>GOSPODARKA  KOMUNALNA I  OCHRONA ŚRODOWISKA</t>
  </si>
  <si>
    <t>Wpływy  i wydatki  związane  z  gromadzeniem  środków   z  opłat  i  kar   za  korzystanie  ze  środowiska</t>
  </si>
  <si>
    <t xml:space="preserve">Dotacja  celowa  z  budżetu  na  finansowanie  lub  dofinansowanie  zadań  zleconych  do  realizacji  stowarzyszeniom   </t>
  </si>
  <si>
    <t>Szkolenia pracowników niebędących członkami korpusu służby cywilnej</t>
  </si>
  <si>
    <t xml:space="preserve">Wpłaty jednostek na  fundusz celowy na   finansowanie  lub  dofinansowanie  zadań inwestycyjnych </t>
  </si>
  <si>
    <t xml:space="preserve"> Wpływy   z różnych  opłat </t>
  </si>
  <si>
    <t xml:space="preserve">Wpływy z  różnych dochodów </t>
  </si>
  <si>
    <t>60014 ,</t>
  </si>
  <si>
    <t>Wpłaty  na  fundusz   celowy (f.wsparcia  )</t>
  </si>
  <si>
    <t>Dotacja  celowa  z  budżetu  na  finansowanie  lub  dofinansowanie  zadań  zleconych  do  realizacji  fundacjom</t>
  </si>
  <si>
    <t>Nazwa zadania inwestycyjnego</t>
  </si>
  <si>
    <t xml:space="preserve">DOCHODY BIEŻĄCE </t>
  </si>
  <si>
    <t xml:space="preserve">DOCHODY MAJĄTKOWE </t>
  </si>
  <si>
    <t>W   TYM :</t>
  </si>
  <si>
    <t xml:space="preserve">Środki na finansowanie własnych zadań bieżących gmin ( związków gmin), powiatów    ( związków powiatów) , samorządów województw , pozyskane z innych źródeł </t>
  </si>
  <si>
    <t xml:space="preserve">§ 944 </t>
  </si>
  <si>
    <t>Wydatki
ogółem
(6+10)</t>
  </si>
  <si>
    <t>świadczenia społeczne</t>
  </si>
  <si>
    <t>Dochody własne jednostek budżetowych</t>
  </si>
  <si>
    <t>na inwestycje</t>
  </si>
  <si>
    <t>§ 265</t>
  </si>
  <si>
    <t>Stan środków obrotowych** na początek roku</t>
  </si>
  <si>
    <t>Stan środków obrotowych** na koniec roku</t>
  </si>
  <si>
    <t>dotacje
z budżetu***</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</si>
  <si>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</si>
  <si>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</si>
  <si>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</si>
  <si>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</si>
  <si>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</si>
  <si>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</si>
  <si>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</si>
  <si>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</si>
  <si>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</si>
  <si>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</si>
  <si>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</si>
  <si>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</si>
  <si>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</si>
  <si>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</si>
  <si>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</si>
  <si>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</si>
  <si>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</si>
  <si>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</si>
  <si>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</si>
  <si>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</si>
  <si>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</si>
  <si>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</si>
  <si>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</si>
  <si>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</si>
  <si>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</si>
  <si>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</si>
  <si>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</si>
  <si>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</si>
  <si>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</si>
  <si>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</si>
  <si>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</si>
  <si>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</si>
  <si>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z tego źródła finansowania</t>
  </si>
  <si>
    <t>Klasyfikacja (dział, rozdział,
paragraf)</t>
  </si>
  <si>
    <t>Plan przychodów i wydatków Powiatowego Funduszu</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</si>
  <si>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</si>
  <si>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</si>
  <si>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</si>
  <si>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</si>
  <si>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</si>
  <si>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</si>
  <si>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</si>
  <si>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</si>
  <si>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</si>
  <si>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</si>
  <si>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</si>
  <si>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</si>
  <si>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</si>
  <si>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</si>
  <si>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</si>
  <si>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</si>
  <si>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</si>
  <si>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</si>
  <si>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</si>
  <si>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</si>
  <si>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</si>
  <si>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</si>
  <si>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</si>
  <si>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</si>
  <si>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</si>
  <si>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</si>
  <si>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 xml:space="preserve">Zesp. do spraw orzekania o niepełnosprawności </t>
  </si>
  <si>
    <t>Dotacje celowe przekazane do   samorządu   województwa  na zadania  bieżące realizowane na podstawie porozumień (umów) między  jednostkami samorządu terytorialnego</t>
  </si>
  <si>
    <t xml:space="preserve">Rehabilitacja   zawodowa  i  społeczna  osób  niepełnosprawnych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</si>
  <si>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</si>
  <si>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</si>
  <si>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</si>
  <si>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</si>
  <si>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</si>
  <si>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</si>
  <si>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</si>
  <si>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</si>
  <si>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</si>
  <si>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</si>
  <si>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</si>
  <si>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 xml:space="preserve">Dotacje  rozwojowe oraz  środki  na  sfinansowanie  wspólnej  polityki  rolnej </t>
  </si>
  <si>
    <t>Dotacje celowe otrzymane  z  powiatu  na zadania bieżące realizowane na podstawie porozumień (umów) między j.s.t.</t>
  </si>
  <si>
    <t xml:space="preserve">Dotacje  przekazane  dla powiatu   na  zadania  bieżące  realizowane  na  podstawie  porozumień (  umów  ) między   j.s.t </t>
  </si>
  <si>
    <t>Poprawa  bezpieczeństwa  na   drogach   publicznych  poprzez wybudowanie   dróg  rowerowych .</t>
  </si>
  <si>
    <t xml:space="preserve">Dotacje celowe otrzymane    z budżetu państwa na realizacje  inwestycji  i  zakupów  inwestycyjnych  własnych powiatu </t>
  </si>
  <si>
    <t xml:space="preserve">Razem  dochody </t>
  </si>
  <si>
    <t>853-85395</t>
  </si>
  <si>
    <t>853-85333</t>
  </si>
  <si>
    <t>DZIAŁALNOŚĆ USŁUGOWA</t>
  </si>
  <si>
    <t>obligacje  komunalne   z  roku  2010</t>
  </si>
  <si>
    <t>Termomodernizacja budynku warsztatów-kontynuacja  w  Z.SZ. CKU  Gronowo</t>
  </si>
  <si>
    <t xml:space="preserve">obligacji   2009  roku </t>
  </si>
  <si>
    <t>Planowane w roku budżetowym   2010</t>
  </si>
  <si>
    <t>Prognoza kwoty długu i spłat na rok 2010 i lata następne</t>
  </si>
  <si>
    <t xml:space="preserve">spłata   kredytu  z  2010 </t>
  </si>
  <si>
    <t>Plan
na 2010 r.
(6+13)</t>
  </si>
  <si>
    <t>Przychody i rozchody budżetu w 2010 r.</t>
  </si>
  <si>
    <t>Wydatki budżetu powiatu na  2010 r.</t>
  </si>
  <si>
    <r>
      <t>PL</t>
    </r>
    <r>
      <rPr>
        <b/>
        <sz val="11"/>
        <rFont val="Arial CE"/>
        <family val="0"/>
      </rPr>
      <t xml:space="preserve">AN  2010 </t>
    </r>
  </si>
  <si>
    <t>Dochody budżetu powiatu na 2010 r.</t>
  </si>
  <si>
    <t>rok budżetowy 2010 (8+9+10+11)</t>
  </si>
  <si>
    <t xml:space="preserve">Limity wydatków na wieloletnie programy inwestycyjne w latach 2010 - 2012  r.i  lata  następne </t>
  </si>
  <si>
    <r>
      <t xml:space="preserve">droga rowerowa: </t>
    </r>
    <r>
      <rPr>
        <sz val="11"/>
        <color indexed="8"/>
        <rFont val="Czcionka tekstu podstawowego"/>
        <family val="0"/>
      </rPr>
      <t>Toruń - Złotoria - Osiek</t>
    </r>
  </si>
  <si>
    <r>
      <t xml:space="preserve">droga rowerowa: </t>
    </r>
    <r>
      <rPr>
        <sz val="11"/>
        <color indexed="8"/>
        <rFont val="Czcionka tekstu podstawowego"/>
        <family val="0"/>
      </rPr>
      <t>Toruń - Chełmża z odgałęzieniem do  m. Kamionki Małe</t>
    </r>
  </si>
  <si>
    <r>
      <t xml:space="preserve">droga rowerowa: </t>
    </r>
    <r>
      <rPr>
        <sz val="11"/>
        <color indexed="8"/>
        <rFont val="Czcionka tekstu podstawowego"/>
        <family val="0"/>
      </rPr>
      <t>Toruń - Barbarka - Wybcz - Unisław</t>
    </r>
  </si>
  <si>
    <t>Projekty  UE</t>
  </si>
  <si>
    <t xml:space="preserve">Wolne  środki   </t>
  </si>
  <si>
    <t xml:space="preserve">Fundusze   celowe </t>
  </si>
  <si>
    <t>PCPR</t>
  </si>
  <si>
    <r>
      <t xml:space="preserve">rok budżetowy 2010 </t>
    </r>
    <r>
      <rPr>
        <b/>
        <sz val="10"/>
        <rFont val="Arial CE"/>
        <family val="0"/>
      </rPr>
      <t>(8+9+10+11)</t>
    </r>
  </si>
  <si>
    <t xml:space="preserve">Planowane wydatki 2010 </t>
  </si>
  <si>
    <t>Zadania inwestycyjne w 2010 r.</t>
  </si>
  <si>
    <t xml:space="preserve">W TYM  INWESTYCJE  WYKAZANE   W  ZAŁĄCZNIKU  NR   2  DO  UCHWAŁY  BUDŻETOWEJ   NA  2010  ROK </t>
  </si>
  <si>
    <t>Plan na 2010 r.</t>
  </si>
  <si>
    <t xml:space="preserve">Finansowanie   zadań  inwestycyjnych   Wojewódzkiej  Komendy  Policji </t>
  </si>
  <si>
    <t>Przebudowa   drogi  powiatowej  nr  2037C  Dobrzejewice-Świętosław-Mazowsze  w km 0+000 : 7+432 oraz   10+982 :11+551 na łączną  dł.8,001 km</t>
  </si>
  <si>
    <t>Kwota
2010 r.</t>
  </si>
  <si>
    <t xml:space="preserve"> oraz dochodów i wydatków dochodów własnych jednostek budżetowych na 2010 r.</t>
  </si>
  <si>
    <t>Rozliczenia
z budżetem
z tytułu wpłat nadwyżek środków za 2010 r.</t>
  </si>
  <si>
    <t>Przebudowa ciągu  komunikacyjnego Drogi powiatowej  nr  2009C Brzeźno-Młyniec-Lubicz Górny w km 3+450 : 9+590 oraz  drogi  powiatowej  nr  2035C  Młyniec I-Jedwabno-  Toruń  w km 0+000 : 0+703 na  łączną długość  6,843 km.</t>
  </si>
  <si>
    <t xml:space="preserve">Środki  na   finansowanie  własnych  inwestycji  gmin (  związków  gmin )  ,powiatów I związków  powiatów ) ,  samorządów  województw ,pozyskane  z innych  źródeł </t>
  </si>
  <si>
    <t xml:space="preserve">Wpływy  z  usług </t>
  </si>
  <si>
    <t>Wpływy z innych opłat stanowiących dochody jednostek samorządu terytorialnego na podstawie ustaw  </t>
  </si>
  <si>
    <t>Wpływy z innych lokalnych opłat pobieranych przez jednostki samorządu terytorialnego na podstawie odrębnych ustaw  </t>
  </si>
  <si>
    <t>Wpływy do budżetu części zysku gospodarstwa pomocniczego  </t>
  </si>
  <si>
    <t xml:space="preserve">Gimnazja  specjalne </t>
  </si>
  <si>
    <t>Pozostałe  odsetki</t>
  </si>
  <si>
    <t>Dochody i wydatki związane z realizacją zadań wykonywanych na podstawie porozumień (umów) między jednostkami samorządu terytorialnego w 2010 r.</t>
  </si>
  <si>
    <t>Dochody i wydatki związane z realizacją zadań z zakresu administracji rządowej i innych zadań zleconych odrębnymi ustawami w 2010 r.</t>
  </si>
  <si>
    <t>Dochody i wydatki związane z realizacją zadań z zakresu administracji rządowej wykonywanych na podstawie porozumień z organami administracji rządowej w 2010 r.</t>
  </si>
  <si>
    <t>Dotacje podmiotowe   w 2010 r.</t>
  </si>
  <si>
    <t xml:space="preserve">Dotacja podmiotowa z budżetu dla niepublicznej szkoły lub innej placówki oświatowo - wychowawczej-Kwota dotacji dla szkoły-Uzupełniającego  Liceum  Ogólnokształcącego w  Złej wsi  Wielkiej  .
</t>
  </si>
  <si>
    <t>Wydatki  inwestycyjne jednostek budżetowych</t>
  </si>
  <si>
    <t>Dotacje celowe przekazane gminie lub  miastu  stołecznemu  Warszawie  na zadania bieżące realizowane na podstawie porozumień między  jednostkami samorządu terytorialnego- dokształcanie  zawodowe</t>
  </si>
  <si>
    <t>Dotacje celowe na zadania własne powiatu realizowane przez podmioty należące
i nie należące do sektora finansów publicznych w 2010 r.</t>
  </si>
  <si>
    <t xml:space="preserve">RAZEM </t>
  </si>
  <si>
    <t>Wpływy z tytułu pomocy finansowej udzielanej między jednostkami samorządu terytorialnego na dofinansowanie własnych zadań inwestycyjnych i zakupów inwestycyjnych  </t>
  </si>
  <si>
    <t xml:space="preserve">Inwestycje   w  zasobach   powiatu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</si>
  <si>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 Ilość ha  - 3312 .Stawka  przyjęta  za  nadzór  za 1  ha - 14 zł.
</t>
  </si>
  <si>
    <t xml:space="preserve">Dotacje  dla  jednostek   sektora   finansów  publicznych </t>
  </si>
  <si>
    <t xml:space="preserve">Dotacje  dla  jednostek  spoza  sektora   finansów  publicznych </t>
  </si>
  <si>
    <t>DOTACJE  2010</t>
  </si>
  <si>
    <t>Kwalifikacja  wojskowa</t>
  </si>
  <si>
    <t xml:space="preserve">2010  rok </t>
  </si>
  <si>
    <t>2009 ROK</t>
  </si>
  <si>
    <t>2008/2009</t>
  </si>
  <si>
    <t>2.11</t>
  </si>
  <si>
    <t>Prace geodezyjne i kartograficzne (nieinwest.)</t>
  </si>
  <si>
    <t xml:space="preserve">Opracowania  geodezyjne i kartograficzne </t>
  </si>
  <si>
    <t>Nadzór budowlany</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</si>
  <si>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</si>
  <si>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</si>
  <si>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</si>
  <si>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</si>
  <si>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</si>
  <si>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</si>
  <si>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</si>
  <si>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</si>
  <si>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</si>
  <si>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</si>
  <si>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</si>
  <si>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</si>
  <si>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</si>
  <si>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 xml:space="preserve">0690 Wpływy   z różnych  opłat </t>
  </si>
  <si>
    <t>Pozostałe podatki na rzecz budżetów jednostek samorządu terytorialnego</t>
  </si>
  <si>
    <t>Koszty postępowania sądowego i prokuratorskiego</t>
  </si>
  <si>
    <t>Kolonie i obozy dla młodzieży polonijnej w kraju</t>
  </si>
  <si>
    <t>Uzupełnienie subwencji ogólnej dla j.s.t.</t>
  </si>
  <si>
    <t>Środki na inwestycje na drogach publicznych powiatowych i wojewódzkich oraz na drogach powiatowych, wojewódzkich i krajowych w granicach administracyjnych miast na prawach powiatu</t>
  </si>
  <si>
    <t>0830</t>
  </si>
  <si>
    <t>0970</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</si>
  <si>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</si>
  <si>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</si>
  <si>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</si>
  <si>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</si>
  <si>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</si>
  <si>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</si>
  <si>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</si>
  <si>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</si>
  <si>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</si>
  <si>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</si>
  <si>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</si>
  <si>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</si>
  <si>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</si>
  <si>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</si>
  <si>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</si>
  <si>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</si>
  <si>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</si>
  <si>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</si>
  <si>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</si>
  <si>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</si>
  <si>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</si>
  <si>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</si>
  <si>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</si>
  <si>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</si>
  <si>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</si>
  <si>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</si>
  <si>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</si>
  <si>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</si>
  <si>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</si>
  <si>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</si>
  <si>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</si>
  <si>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Droga 2031 Zelgno- Bezdół -Zelgno od km 2+360 do km 2+860 na dł.0,500 km</t>
  </si>
  <si>
    <t>Szkoły zawodowe specjalne</t>
  </si>
  <si>
    <t>Dokształcanie i doskonalenie nauczycieli</t>
  </si>
  <si>
    <t>Komendy Powiatowe Straży Pożarnej</t>
  </si>
  <si>
    <t>Stołówki szkolne</t>
  </si>
  <si>
    <t>Wpłaty na PFRON</t>
  </si>
  <si>
    <t xml:space="preserve">Dotacje celowe przekazane gminie lub  miastu  stołecznemu  Warszawie  na zadania bieżące realizowane na podstawie porozumień między jednostkami samorządu terytorialnego </t>
  </si>
  <si>
    <t>Zakup  usług pozostałych</t>
  </si>
  <si>
    <t xml:space="preserve">2960 Przelewy   redystrybucyjne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</si>
  <si>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</si>
  <si>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</si>
  <si>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</si>
  <si>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</si>
  <si>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</si>
  <si>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</si>
  <si>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</si>
  <si>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</si>
  <si>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</si>
  <si>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</si>
  <si>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</si>
  <si>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</si>
  <si>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</si>
  <si>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</si>
  <si>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</si>
  <si>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</si>
  <si>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</si>
  <si>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</si>
  <si>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</si>
  <si>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</si>
  <si>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</si>
  <si>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</si>
  <si>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</si>
  <si>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</si>
  <si>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</si>
  <si>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</si>
  <si>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</si>
  <si>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</si>
  <si>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</si>
  <si>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</si>
  <si>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</si>
  <si>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</si>
  <si>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</si>
  <si>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Stypendia  oraz  inne formy pomocy dla uczniów </t>
  </si>
  <si>
    <t>Starostwo Powiatowe</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</si>
  <si>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</si>
  <si>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</si>
  <si>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</si>
  <si>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</si>
  <si>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</si>
  <si>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Dodatkowe  wynagrodzenie  roczne </t>
  </si>
  <si>
    <t>Opłata  na  rzecz budżetów j.s.t</t>
  </si>
  <si>
    <t xml:space="preserve">Rezerwy  na  inwestycje  i  zakupy  inwestycyjne </t>
  </si>
  <si>
    <t xml:space="preserve">2960  Przelewy   redystrybucyjne </t>
  </si>
  <si>
    <t>0830 Wpływy  z  usług</t>
  </si>
  <si>
    <t xml:space="preserve">0920 Pozostałe  odsetki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</si>
  <si>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</si>
  <si>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</si>
  <si>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</si>
  <si>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</si>
  <si>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</si>
  <si>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</si>
  <si>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</si>
  <si>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</si>
  <si>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Dochody  jednostek  samorządu  terytorialnego  związane   z  realizacją zadań  z  zakresu  administracji rządowej oraz innych zadań zleconych ustawami</t>
  </si>
  <si>
    <t>.0690</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</si>
  <si>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</si>
  <si>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</si>
  <si>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</si>
  <si>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</si>
  <si>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</si>
  <si>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</si>
  <si>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</si>
  <si>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</si>
  <si>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</si>
  <si>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</si>
  <si>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</si>
  <si>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</si>
  <si>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</si>
  <si>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</si>
  <si>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</si>
  <si>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</si>
  <si>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</si>
  <si>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</si>
  <si>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</si>
  <si>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</si>
  <si>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</si>
  <si>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</si>
  <si>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</si>
  <si>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</si>
  <si>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</si>
  <si>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</si>
  <si>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</si>
  <si>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</si>
  <si>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</si>
  <si>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</si>
  <si>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</si>
  <si>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</si>
  <si>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</si>
  <si>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</si>
  <si>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POZOSTAŁE  ZADANIA  W  ZAKRESIE  POLITYKI  SPOŁECZNEJ </t>
  </si>
  <si>
    <t xml:space="preserve">Powiatowe  Urzędy  Pracy  </t>
  </si>
  <si>
    <t>Internaty i bursy szkolne</t>
  </si>
  <si>
    <t xml:space="preserve">RAZEM PROGNOZOWANE  DOCHODY </t>
  </si>
  <si>
    <t xml:space="preserve">dodatkowe   wynagrodzenie  roczne </t>
  </si>
  <si>
    <t>.700</t>
  </si>
  <si>
    <t>.70005</t>
  </si>
  <si>
    <t>.710</t>
  </si>
  <si>
    <t>.71013</t>
  </si>
  <si>
    <t>.71014</t>
  </si>
  <si>
    <t>.71015</t>
  </si>
  <si>
    <t>.750</t>
  </si>
  <si>
    <t>.75011</t>
  </si>
  <si>
    <t>.75045</t>
  </si>
  <si>
    <t>.851</t>
  </si>
  <si>
    <t>.85156</t>
  </si>
  <si>
    <t>.85203</t>
  </si>
  <si>
    <t>.853</t>
  </si>
  <si>
    <t>.85321</t>
  </si>
  <si>
    <t>-</t>
  </si>
  <si>
    <t>PZD  TORUŃ</t>
  </si>
  <si>
    <t xml:space="preserve">STAROSTWO POWIATOWE </t>
  </si>
  <si>
    <t>Wynagrodzenie osobowe pracowników</t>
  </si>
  <si>
    <t xml:space="preserve">Dodatkowe wynagrodzenie  roczne </t>
  </si>
  <si>
    <t>Wydatki
ogółem
(6+11)</t>
  </si>
  <si>
    <t xml:space="preserve">2006  rok </t>
  </si>
  <si>
    <t xml:space="preserve">spłata   kredytu  z  2003 </t>
  </si>
  <si>
    <t xml:space="preserve">spłata   kredytu  z  2004 </t>
  </si>
  <si>
    <t xml:space="preserve">spłata   kredytu  z  2005 </t>
  </si>
  <si>
    <t xml:space="preserve">spłata   kredytu  z  2006 </t>
  </si>
  <si>
    <t xml:space="preserve">1.POWIATOWY  OŚRODEK DOKUMENTACJI GEODEZYJNEJ  i  KARTOGRAFICZNEJ   W  TORUNIU </t>
  </si>
  <si>
    <t xml:space="preserve">spłata   kredytu  z  2007 </t>
  </si>
  <si>
    <t>1.Z.SZ.CKU  GRONOWO -  USŁUGI   W   INTERNACIE -  854-85410</t>
  </si>
  <si>
    <t>Zakup usług obejmujących wykonanie ekspertyz analiz i opinii</t>
  </si>
  <si>
    <t>Opłaty z tytułu usług telekomunikacyjnych telefonii komórkowej</t>
  </si>
  <si>
    <t>Opłata z tytułu telekomunikacyjnych telefonii stacjonarnej</t>
  </si>
  <si>
    <t>dochody  jst  z  tyt.opłat  i  kar  za  zanieczyszczanie  środowiska</t>
  </si>
  <si>
    <t>Dotacje celowe przekazane dla powiatu na inwestycje i zakupy inwestycyjne realizowane na podstawie porozumień (umów) między jednostkami samorządu terytorialnego </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</si>
  <si>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</si>
  <si>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</si>
  <si>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</si>
  <si>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</si>
  <si>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</si>
  <si>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</si>
  <si>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dotacje </t>
  </si>
  <si>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</si>
  <si>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</si>
  <si>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</si>
  <si>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</si>
  <si>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W  tym   wydatki   na  dotacje  bez   środków  o  których  mowa  w   art. 5 ust 1  pkt  2 i  3  u.o.f.p.</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</si>
  <si>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</si>
  <si>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</si>
  <si>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</si>
  <si>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</si>
  <si>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</si>
  <si>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</si>
  <si>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</si>
  <si>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</si>
  <si>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</si>
  <si>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</si>
  <si>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</si>
  <si>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</si>
  <si>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</si>
  <si>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</si>
  <si>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</si>
  <si>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</si>
  <si>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</si>
  <si>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Zakup leków i wyrobów  medycznych i produktów biobójczych</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</si>
  <si>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</si>
  <si>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</si>
  <si>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</si>
  <si>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</si>
  <si>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.0490</t>
  </si>
  <si>
    <t>Opłaty na rzecz budżetu państwa</t>
  </si>
  <si>
    <t xml:space="preserve">Pomoc   dla  repatriantów </t>
  </si>
  <si>
    <t>Zakup materiałów  i  wyposażenia</t>
  </si>
  <si>
    <t xml:space="preserve">Priorytet  IX -  Rozwój  wykształcenia  i  kompetencji   w  regionach  .  Działanie  9.3 Upowszechnianie formalnego  kształcenia  ustawicznego   Podniesienie  atrakcyjności  i  jakości  szkolnictwa  zawodowego.  Tytuł  projektu  : Dobre  doradztwo =dobre kształcenie = sukces zawodowy </t>
  </si>
  <si>
    <t>2.4</t>
  </si>
  <si>
    <t>Wynagrodzenia   bezosobowe</t>
  </si>
  <si>
    <t>Zakup  energii</t>
  </si>
  <si>
    <t>4208/4209</t>
  </si>
  <si>
    <t xml:space="preserve">zakup  materiałów  i  wyposażenia </t>
  </si>
  <si>
    <t xml:space="preserve">Dotacje  przekazane  gminom   na  zadania  bieżące  realizowane  na  podstawie  porozumień (  umów  ) między   j.s.t </t>
  </si>
  <si>
    <t xml:space="preserve">Dotacje  przekazane  gminom  na  zadania  bieżące  realizowane  na  podstawie  porozumień (  umów  ) między   j.s.t </t>
  </si>
  <si>
    <t xml:space="preserve">Dotacje  przekazane gminie  na  zadania  bieżące  realizowane  na  podstawie  porozumień (  umów  ) między   j.s.t </t>
  </si>
  <si>
    <t xml:space="preserve">Dotacje  przekazane  gminie  na  zadania  bieżące  realizowane  na  podstawie  porozumień (  umów  ) między   j.s.t </t>
  </si>
  <si>
    <t>2329 i    2319</t>
  </si>
  <si>
    <t>2328 i 2318</t>
  </si>
  <si>
    <t>4.  KURSY  DLA  Z.SZ.  CKU  GRONOWO  - 801-80140</t>
  </si>
  <si>
    <t xml:space="preserve">Poradnie Psychologiczno-Pedagogiczne </t>
  </si>
  <si>
    <t xml:space="preserve">Wynagrodzenia bezosobowe </t>
  </si>
  <si>
    <t>brak</t>
  </si>
  <si>
    <t xml:space="preserve">Melioracje  wodne </t>
  </si>
  <si>
    <t>Wpływy  z  opłat za  trwały  zarząd ,  wieczyste  użytkowanie</t>
  </si>
  <si>
    <t>.0910</t>
  </si>
  <si>
    <t>Odsetki od nieterminowych wpłat</t>
  </si>
  <si>
    <t>.0680</t>
  </si>
  <si>
    <t xml:space="preserve">Wpływy od rodziców  z  tytułu odpłatności  za utrzymanie   dzieci (  wychowanków) w  POW </t>
  </si>
  <si>
    <t xml:space="preserve">Wpływy z różnych dochodów </t>
  </si>
  <si>
    <t>Wpływy  z różnych opłat</t>
  </si>
  <si>
    <t>Wpływy z  usług</t>
  </si>
  <si>
    <t>OBRONA NARODOWA</t>
  </si>
  <si>
    <t>Pozostałe  wydatki  obronne</t>
  </si>
  <si>
    <t>.752</t>
  </si>
  <si>
    <t>.75212</t>
  </si>
  <si>
    <t xml:space="preserve">Wynagrodzenia osobowe członków  korpusu  służby  cywilnej </t>
  </si>
  <si>
    <t>OBRONA  NARODOWA</t>
  </si>
  <si>
    <t>Kwota długu na dzień 31.12.2008</t>
  </si>
  <si>
    <t>obligacje  komunalne   z  roku  2009</t>
  </si>
  <si>
    <t>852  i  PFOŚIGW</t>
  </si>
  <si>
    <t>STAROSTWO POWIATOWE</t>
  </si>
  <si>
    <t>w  tym  :</t>
  </si>
  <si>
    <t xml:space="preserve">Kontynuacja robót budowlanych w obiektach zlokalizowanych przy ul. Hallera 25 w Chełmży zmierzających do adaptacji budynku dla potrzeb Placówki  Opiekuńczo-  Wychowawczej-  POW  GŁUCHOWO </t>
  </si>
  <si>
    <t>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t>
  </si>
  <si>
    <t>Wykończenie  budynku  zajmowanego   na  potrzeby  PCPR  w  Toruniu na  ul. Towarowej</t>
  </si>
  <si>
    <t>Wykończenie  budynku  zajmowanego   na  potrzeby  PCPR   w  Toruniu na  ul. Towarowej</t>
  </si>
  <si>
    <t xml:space="preserve">dodatkowe  wynagrodzenie  roczne  </t>
  </si>
  <si>
    <t>Priorytet  IX -  Rozwój  wykształcenia  i  kompetencji   w  regionach  .  Działanie  9.2  Podniesienie  atrakcyjności  i  jakości  szkolnictwa  zawodowego.  Tytuł  projektu  : Dobre   szkolenie w  drodze   do  poszerzenia kompetencji .</t>
  </si>
  <si>
    <t>2.5</t>
  </si>
  <si>
    <t>2.6</t>
  </si>
  <si>
    <t xml:space="preserve">Priorytet  IX -  Rozwój  wykształcenia  i  kompetencji   w  regionach  .  Działanie  9.2  Podniesienie  atrakcyjności  i  jakości  szkolnictwa  zawodowego.  Tytuł  projektu  : Atrakcyjna   szkoła w  trosce  o  pokolenia </t>
  </si>
  <si>
    <t xml:space="preserve">zakup  pozostałych  usług </t>
  </si>
  <si>
    <t>Wpływy z różnych dochodów</t>
  </si>
  <si>
    <t>Wypłaty z tytułu gwarancji i poręczeń</t>
  </si>
  <si>
    <t>Rozliczenia z tytułu poręczeń i gwarancji udzielonych przez Skarb Państwa lub jednostkę samorządu terytorialnego  </t>
  </si>
  <si>
    <t>Baza  sportowa  dla  Z.SZ.   CKU  w  Gronowie  i  środowiska  lokalnego  oraz  zaplecze   gastronomiczne 2011-2014</t>
  </si>
  <si>
    <t xml:space="preserve">Budowa  chodników </t>
  </si>
  <si>
    <t xml:space="preserve">Przebudowa   drogi  nr  2006 - Rozgarty -Górsk wraz  z  budową  zatoki  parkingowej  dla  obsługi   ruchu  turystycznego   w  miejscu  pamięci   Ks.  J.Popiełuszki   w  miejscowości  Górsk  </t>
  </si>
  <si>
    <t>j.w</t>
  </si>
  <si>
    <t>wkład  własny   niepieniężny -  usługi</t>
  </si>
  <si>
    <t>Zakup usług dostępu do sieci Internet</t>
  </si>
  <si>
    <t>2.7</t>
  </si>
  <si>
    <t xml:space="preserve">Priorytet  IX -  Rozwój  wykształcenia  i  kompetencji   w  regionach  .  Działanie  9.4  Wysoko  wykwalifikowane  kadry  systemu  oświatyTytuł  projektu  : Nauczyciel  uczący  się -  podniesienie  kwalifikacji  kadr  systemu  oświaty  z  terenu  byłego  województwa toruńskiego  w  latach  2008-2009 </t>
  </si>
  <si>
    <t>853/85395</t>
  </si>
  <si>
    <t>Projekt 9.4-  UE</t>
  </si>
  <si>
    <t>6068/6069</t>
  </si>
  <si>
    <t xml:space="preserve">Priorytet  IX -  Rozwój  wykształcenia  i  kompetencji   w  regionach  .  Działanie  9.3  Upowszechnianie formalnego  kształcenia  ustawicznego  Tytuł  projektu  : Nigdy  nie  jest   za  późno  na  naukę -  daj  sobie  drugą  szansę </t>
  </si>
  <si>
    <t>dochody własne jst,</t>
  </si>
  <si>
    <t xml:space="preserve">Rozliczenia   z  bankami   związane   z  obsługą  długu  publicznego </t>
  </si>
  <si>
    <t>z tego: 2009 r.</t>
  </si>
  <si>
    <t>20010 r.</t>
  </si>
  <si>
    <t>2011 r.</t>
  </si>
  <si>
    <t xml:space="preserve">Wydatki na  zakupy   inwestycyjne  jednostek  budżetowych </t>
  </si>
  <si>
    <t xml:space="preserve">Szkolenie  pracowników  korpusu  służby  cywilnej </t>
  </si>
  <si>
    <t xml:space="preserve">Komendy  Powiatowe   Policji </t>
  </si>
  <si>
    <t xml:space="preserve">Zakup  pozostałych  usług </t>
  </si>
  <si>
    <t xml:space="preserve">Dotacje celowe przekazane dla  powiatu  e  na zadania bieżące realizowane na podstawie porozumień między jednostkami samorządu terytorialnego </t>
  </si>
  <si>
    <t>2.8</t>
  </si>
  <si>
    <t xml:space="preserve">„ Majówka  Europejska ”   ,  w  ramach   Programu  Operacyjnego   Pomoc  Techniczna  2007-2013  </t>
  </si>
  <si>
    <t xml:space="preserve">STAROSTWO POWIATOWE  lub   DPS Browina </t>
  </si>
  <si>
    <t xml:space="preserve">Zakup  udziałów w  spółce  Szpital  Powiatowy   w  Chełmży </t>
  </si>
  <si>
    <t>2.9</t>
  </si>
  <si>
    <t xml:space="preserve">Szpitale  ogólne </t>
  </si>
  <si>
    <t xml:space="preserve">Wydatki na  zakup  i  objęcie  akcji  oraz  wniesienie  wkładów  do  spółek prawa  handlowego </t>
  </si>
  <si>
    <t>750/75001</t>
  </si>
  <si>
    <t xml:space="preserve">Składki  na  fundusz merytur   pomostowowych </t>
  </si>
  <si>
    <t>0920  Pozostałe  odsetki</t>
  </si>
  <si>
    <t>„  Przebudowa systemu  ogrzewania  budynku  i  przygotowania ciepłej wody  użytkowej poprzez zastosowanie zespołu pomp ciepła wykorzystujących energię geotermiczną  ziemi  dla  Domu  Pomocy Społecznej   w  Pigży „</t>
  </si>
  <si>
    <t>dział   900  r. 90019</t>
  </si>
  <si>
    <r>
      <t>Oś: 1- Rozwój infrastruktury  technicznej ,Działanie :1.1 - Infrastruktura drogowa, Tytuł projektu : Poprawa bezpieczeństwa  na  drogach publicznych poprzez wybudowanie dróg rowerowych-droga  rowerowa Toruń- Chełmża   z  odgałęzieniem   do  m.  Kamionki  Małe   -</t>
    </r>
    <r>
      <rPr>
        <b/>
        <sz val="10"/>
        <color indexed="10"/>
        <rFont val="Arial"/>
        <family val="2"/>
      </rPr>
      <t xml:space="preserve">projekt  przed  złożeniem   wniosku  aplikacyjnego </t>
    </r>
  </si>
  <si>
    <t xml:space="preserve">( kwoty zgodne  z  przygotowywanym harmonogramem(  budżetem  )  realizacji  projektu </t>
  </si>
  <si>
    <r>
      <t>Oś: 1- Rozwój infrastruktury  technicznej ,Działanie :1.1 - Infrastruktura drogowa, Tytuł projektu : Poprawa bezpieczeństwa  na  drogach publicznych poprzez wybudowanie dróg rowerowych-droga  rowerowa Toruń-Brabarka -Wybcz -  Unisław    -</t>
    </r>
    <r>
      <rPr>
        <b/>
        <sz val="10"/>
        <color indexed="10"/>
        <rFont val="Arial"/>
        <family val="2"/>
      </rPr>
      <t xml:space="preserve">projekt  przed  złożeniem  wniosku  aplikacyjnego </t>
    </r>
  </si>
  <si>
    <r>
      <t xml:space="preserve">Oś: 1- Rozwój infrastruktury  technicznej ,Działanie :1.1 - Infrastruktura drogowa, Tytuł projektu : Poprawa bezpieczeństwa  na  drogach publicznych poprzez wybudowanie dróg rowerowych-droga  rowerowa Toruń-Złotoria -Osiek   </t>
    </r>
    <r>
      <rPr>
        <b/>
        <sz val="10"/>
        <color indexed="10"/>
        <rFont val="Arial"/>
        <family val="2"/>
      </rPr>
      <t xml:space="preserve">- projekt przed  złożeniem  wniosku  aplikacyjnego </t>
    </r>
  </si>
  <si>
    <t>Dotacje celowe w ramach programów finansowanych z udziałem środków europejskich oraz środków, o których mowa w art. 5 ust. 1 pkt 3 oraz ust. 3 pkt 5 i 6 ustawy, lub płatności w ramach budżetu środków europejskich </t>
  </si>
  <si>
    <t>UE</t>
  </si>
  <si>
    <t>Zakup usług obejmujących tłumaczenia</t>
  </si>
  <si>
    <t>13  Zfn</t>
  </si>
  <si>
    <t>świadczenia  na  rzecz  osób  (  UE</t>
  </si>
  <si>
    <t xml:space="preserve">Przebudowa  drogi 1619 Lisewo –Dubielno -Chełmża w km  8+972  do  12+552  na  dł. 3,580 km oraz  chodnik  ul.  Trakt  12+546 do  14+955  na  dł.  2,409 km      </t>
  </si>
  <si>
    <t>OŚ -  3  Działanie  3.2   Nr projektu nr: WND-RPKP.03.02.00-04-009/09 pt:” Przebudowa i dostosowanie do obowiązujących standardów dla Domów Pomocy Społecznej Budynku Zespołu nr 2 w Browinie”</t>
  </si>
  <si>
    <t>„  Przebudowa systemu  ogrzewania  budynku  i  przygotowania ciepłej wody  użytkowej poprzez zastosowanie zespołu pomp ciepła wykorzystujących energię geotermiczną  ziemi  dla  Domu  Pomocy Społecznej   w  Pigży „ .</t>
  </si>
  <si>
    <t>Aktywizacja  społeczna  mieszkańców DPS Browina</t>
  </si>
  <si>
    <t>PCPR  w  Toruniu   -  "  Uwierzyć  w  siebie  "</t>
  </si>
  <si>
    <t xml:space="preserve">Dodatkowe  wynagrodzenie roczne </t>
  </si>
  <si>
    <t xml:space="preserve">Zakup  usług  remontowych </t>
  </si>
  <si>
    <t>Priorytetu  VII - Promocja  integracji  społecznej  ,</t>
  </si>
  <si>
    <t>Działania  -  7.1  -  rozwój  i  upowszechnianie   aktywnej   integracji ,</t>
  </si>
  <si>
    <t>Poddziałania -  7.1.2  Rozwój  i  upowszechnianie   aktywnej   integracji  przez  powiatowe   centra   pomocy  rodzinie .</t>
  </si>
  <si>
    <t>Priorytet IX</t>
  </si>
  <si>
    <t>Rozwój wykształcenia i kompetencji w regionach</t>
  </si>
  <si>
    <t>Działanie 9.6</t>
  </si>
  <si>
    <t>Projekty innowacyjne</t>
  </si>
  <si>
    <t>Projekt 9.6</t>
  </si>
  <si>
    <t>"Szkoła innowacyjna i konkurencyjna - dostosowanie oferty szkolnictwa zawodowego do wymagań lokalnego rynku pracy"</t>
  </si>
  <si>
    <t xml:space="preserve">SP   W  Toruniu </t>
  </si>
  <si>
    <t xml:space="preserve">Szkolenia  pracowników nie  będących   członkami   korpusu  służby   cywilnej </t>
  </si>
  <si>
    <t>1.7</t>
  </si>
  <si>
    <r>
      <t>Działanie  1.1  Infrastruktura  drogowa ,  
oś priorytetowa  1.  Rozwój  infrastruktury  technicznej  .
Modernizacja   systemu   dróg  powiatowych  łączących  się   z  drogami  wyższej  kategorii  szansą   na  poprawę  konkurencyjności  gospodarczej   , wzrost   atrakcyjności  oraz  poziomu   bezpieczeństwa .</t>
    </r>
    <r>
      <rPr>
        <b/>
        <sz val="10"/>
        <color indexed="10"/>
        <rFont val="Arial"/>
        <family val="2"/>
      </rPr>
      <t xml:space="preserve"> </t>
    </r>
  </si>
  <si>
    <t>Dotacje celowe przekazane dla powiatu   na zadania  bieżące realizowane na podstawie porozumień (umów) między  jednostkami samorządu terytorialnego</t>
  </si>
  <si>
    <t xml:space="preserve">Dotacje celowe przekazane dla powiatu na zadania bieżące realizowane na podstawie porozumień (umów) między jednostkami samorządu terytorialnego .Przekazanie  dotacji przez powiat  toruński  dla innych jednostek samorządu terytorialnego  na  współfinansowanie warsztatów terapii zajęciowej .
</t>
  </si>
  <si>
    <t xml:space="preserve">Montaż  windy towarowej  w  DPS Browina - bud.  Nr   1 </t>
  </si>
  <si>
    <t xml:space="preserve">Przebudowa  drogi powiatowej nr 1619 C Lisewo-Dubielno-Chełmża w km  8+980  do  14+955  na  dł. 5,975 km </t>
  </si>
  <si>
    <t xml:space="preserve">wolne  środki   z  lat  ubiegłych , fundusze celowe </t>
  </si>
  <si>
    <t>Przebudowa   drogi  powiatowej  nr 2004 Łążyn -Zarośla  Cienkie -Smolno   w km 0+000 : 7+756  na łączną  dł.7,756 km</t>
  </si>
  <si>
    <t>Przebudowa   drogi  powiatowej  nr 2009 Brzeźno -Młyniec Lubicz Górny  w km 0+000 : 3+450  na łączną  dł.3,45 km</t>
  </si>
  <si>
    <t xml:space="preserve">Usuwanie skutków klęsk żywiołowych </t>
  </si>
  <si>
    <t>Usuwanie skutków klęsk żywiołowych</t>
  </si>
  <si>
    <t>2012 i  dalej</t>
  </si>
  <si>
    <t xml:space="preserve">Solary  w  DPS  Wielka  Nieszawka </t>
  </si>
  <si>
    <t xml:space="preserve">Termomodernizacja budynków   powiatu  przy  ul.  Szewskiej  w  Chełmży  ,   kotłownia </t>
  </si>
  <si>
    <t xml:space="preserve">Starostwo  Powiatowe   lub   DPS  Wielka  Nieszawka </t>
  </si>
  <si>
    <t>Współfinansowanie  inwestycji  gminnych    w  gminach  Łubianka ,  Chełmża ,  Czernikowo  pozyskujących  środki   na  inwestycje   z  NPPDL  na  lata  2008-2011</t>
  </si>
  <si>
    <t>KWOTA  ?????????????????????</t>
  </si>
  <si>
    <t>STAROSTWO POWIATOWE   lub  DPS  PIGŻA</t>
  </si>
  <si>
    <t>20\</t>
  </si>
  <si>
    <t xml:space="preserve">Zakupy inwestycyjne  z  PFGZGiK -  regały    przesuwne </t>
  </si>
  <si>
    <t xml:space="preserve">Łączne  koszty </t>
  </si>
  <si>
    <t>Termomodernizacja budynku Towarowa  (  wiatrołap ) ,  pompy  i   łódź  dla  KMPSP</t>
  </si>
  <si>
    <t>605/606</t>
  </si>
  <si>
    <t>801/900</t>
  </si>
  <si>
    <t>80130/90019</t>
  </si>
  <si>
    <t>STAROSTWO POWIATOWE   lub  Z.SZ.  CKU  Gronowo</t>
  </si>
  <si>
    <t>dział  801  i  900</t>
  </si>
  <si>
    <t>Modernizacja budynku  DPS Pigża</t>
  </si>
  <si>
    <t xml:space="preserve">„Adaptacja  pomieszczeń  budynku  warsztatowego   na  pracownię  spawalnictwa  z zapleczem   szkoleniowym  i  socjalnym.  Z.SZ.  CKU   w  Gronowie .  </t>
  </si>
  <si>
    <t>Urzędy naczelnych organów władzy państwowej, kontroli i ochrony prawa oraz sądownictwa </t>
  </si>
  <si>
    <t xml:space="preserve">Wybory do  rad  gmin, rad powiatów i sejmików województwa </t>
  </si>
  <si>
    <t xml:space="preserve">Usuwanie  skutków  klęsk  żywiołowych </t>
  </si>
  <si>
    <t>.75109</t>
  </si>
  <si>
    <t>Urzędy naczelnych organów władzy państwowej kontroli i ochrony prawa oraz sądownictwa</t>
  </si>
  <si>
    <t>Wybory do rad gmin, rad powiatów i sejmików województwa</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</si>
  <si>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Przyjazny  Urząd "</t>
  </si>
  <si>
    <t xml:space="preserve">Wynagrodzenia osobowe pracowników </t>
  </si>
  <si>
    <t xml:space="preserve">Wynagrodzenia  osobowe pracowników </t>
  </si>
  <si>
    <t xml:space="preserve">Priorytet  VII - Promocja  integracji  społecznej  Działanie  -  7.1  -  rozwój  i  upowszechnianie   aktywnej   integracji ,
Poddziałanie -  7.1.2  Rozwój  i  upowszechnianie   aktywnej   integracji  przez  powiatowe   centra   pomocy  rodzinie .
  Nazwa  zadania   " „ Uwierzyć   w  siebie -  aktywna integracja  osób  przebywających   w  rodzinach   zastępczych   i  je  opuszczających   „ </t>
  </si>
  <si>
    <t xml:space="preserve">Świadczenia  społeczne </t>
  </si>
  <si>
    <t xml:space="preserve">Różne  opłaty  i  składki </t>
  </si>
  <si>
    <t>wynagrodzenia osobowe</t>
  </si>
  <si>
    <t xml:space="preserve">Opłaty  za  administrowanie i  czynsze  za  budynku , lokale  i  pomieszczenia  garażowe </t>
  </si>
  <si>
    <t xml:space="preserve">wydatki  FP </t>
  </si>
  <si>
    <t>Opłata  na  rzecz budżetu państwa</t>
  </si>
  <si>
    <t xml:space="preserve">Razem    inwestycje </t>
  </si>
  <si>
    <t xml:space="preserve">inne </t>
  </si>
  <si>
    <t>2a</t>
  </si>
  <si>
    <t>J.W.</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</si>
  <si>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</si>
  <si>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</si>
  <si>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 xml:space="preserve">Dotacja  celowa  z  budżetu  na  finansowanie  lub  dofinansowanie  zadań  zleconych  do  realizacji  fundacjom </t>
  </si>
  <si>
    <t xml:space="preserve">Odsetki  pozostałe </t>
  </si>
  <si>
    <t>Opłata z tytułu telekomunikacyjnych telefonii komórkowej</t>
  </si>
  <si>
    <t xml:space="preserve">Wydatki na  dotacje   celowe  na finansowanie  lub   dofinansowanie zadań  bieżących   realizowanych   przez jednostki   spoza s.f.p </t>
  </si>
  <si>
    <t xml:space="preserve">Podróże służbowe zagraniczne </t>
  </si>
  <si>
    <t>Składki  na PFRON</t>
  </si>
  <si>
    <t>Zakup leków ,wyrobów  medycznych i produktów biobójczych</t>
  </si>
  <si>
    <t xml:space="preserve">Podatek  na  rzecz  budżetów  j.s.t </t>
  </si>
  <si>
    <t>Opłaty za administrowanie i   czynsze   za  budynki , lokale  i  pomieszczenia   garażowe</t>
  </si>
  <si>
    <t xml:space="preserve">Rezerwy  na  inwestycje i   zakupy  inwestycyjne </t>
  </si>
  <si>
    <t>2004 rok</t>
  </si>
  <si>
    <t>2007  rok</t>
  </si>
  <si>
    <t xml:space="preserve">4270 Zakup usług  remontowych </t>
  </si>
  <si>
    <t xml:space="preserve">4210 Zakup materiałów i  wyposażenia </t>
  </si>
  <si>
    <t>2.Z.SZ.  CKU  W  GRONOWIE -STOŁÓWKA   SZKOLNA -801-80148</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</si>
  <si>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kosztu  utrzymania    dzieci  naszego powiatu  przebywające w  placówkach  opiekuńczo  wychowawczych  na  terenie innych  powiatów.
</t>
  </si>
  <si>
    <t xml:space="preserve">Dotacje celowe przekazane gminie na zadania bieżące realizowane na podstawie  porozumień (umów) p.jednostkami samorządu terytorialnego :Urząd  Miasta   Torunia  -Poradnia Psychologiczno Pedagogiczna w Toruniu .Na podstawie zawartego porozumienia poradnia świadczy usługi dla dzieci i   młodzieży z gmin: Lubicz, Wielka Nieszawka, Zawieś Wielka. 
Urząd  Gminy  Łysomice -Poradnia Psychologiczno Pedagogiczna w Łysomicach .
Na podstawie  zawartego porozumienia poradnia świadczy usługi dla dzieci i młodzieży z gminy Łysomice.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</si>
  <si>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</si>
  <si>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rodzinie  zastępczej  na terenie  innego  powiatu .
</t>
  </si>
  <si>
    <t xml:space="preserve">Wydatki  na zakupy   inwestycyjne  jednostek  budżetowych </t>
  </si>
  <si>
    <t xml:space="preserve">Łączne koszty finansowe  zadania </t>
  </si>
  <si>
    <t>Wydatki inwestycyjne jednostek budżetowych</t>
  </si>
  <si>
    <t>J.W</t>
  </si>
  <si>
    <t xml:space="preserve">PZD W  TORUNIU </t>
  </si>
  <si>
    <t xml:space="preserve">Rezerwa celowa na inwestycje  i   zakupy inwestycyjne </t>
  </si>
  <si>
    <t xml:space="preserve">Pomoc  dla  repatriantów </t>
  </si>
  <si>
    <t>.85334</t>
  </si>
  <si>
    <t>Dotacje otrzymane z funduszy celowych na realizację zadań bieżących jednostek sektora finansów publicznych  </t>
  </si>
  <si>
    <t>Modernizacja   systemu   dróg  powiatowych  łączących  się   z  drogami  wyższej  kategorii  szansą   na  poprawę  konkurencyjności  gospodarczej   , wzrost   atrakcyjności  oraz  poziomu   bezpieczeństwa .</t>
  </si>
  <si>
    <t>w tym   :</t>
  </si>
  <si>
    <t>Modernizacja   systemu   dróg  powiatowych  łączących  się   z  drogami  wyższej  kategorii  szansą   na  poprawę  konkurencyjności  gospodarczej   , wzrost   atrakcyjności  oraz  poziomu   bezpieczeństwa .   Zadanie  składające  się  z  13   dróg (  poniżej  ) .</t>
  </si>
  <si>
    <t>Regionalny Program Operacyjny Województwa Kujawsko - Pomorskiego na lata 2007-2013 -</t>
  </si>
  <si>
    <t>60060014/6058/6059</t>
  </si>
  <si>
    <t>Dotacje celowe otrzymane z gminy na inwestycje i zakupy inwestycyjne realizowane na podstawie porozumień (umów) między jednostkami samorządu terytorialnego  </t>
  </si>
  <si>
    <t xml:space="preserve">RAZEM  INWESTYCJE </t>
  </si>
  <si>
    <t>LP.</t>
  </si>
  <si>
    <t xml:space="preserve">STAROSTWO POWIATOWE   i  PUP  DLA  PT   W  TORUNIU  </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</si>
  <si>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Profesjonalny  Urząd "</t>
  </si>
  <si>
    <t xml:space="preserve">wynagrodzenia osobowe </t>
  </si>
  <si>
    <t xml:space="preserve">składki  na  ubezpieczenia   społeczne </t>
  </si>
  <si>
    <t xml:space="preserve">składki na  fundusz  pracy </t>
  </si>
  <si>
    <t xml:space="preserve">zakładowy  fundusz  świadczeń socjalnych </t>
  </si>
  <si>
    <t xml:space="preserve">zakup  akcesoriów komputerowych  ,  w  tym  programów </t>
  </si>
  <si>
    <t xml:space="preserve">Wydatki na zakupy  inwestycyjne  jednostek  budżetowych </t>
  </si>
  <si>
    <t xml:space="preserve">Dotacje  rozwojowe  </t>
  </si>
  <si>
    <t xml:space="preserve">Dotacje  rozwojowe </t>
  </si>
  <si>
    <t>4018/4019</t>
  </si>
  <si>
    <t>4118/4119</t>
  </si>
  <si>
    <t>4128/4129</t>
  </si>
  <si>
    <t>4448/4449</t>
  </si>
  <si>
    <t>4758/4759</t>
  </si>
  <si>
    <t xml:space="preserve">2008  rok </t>
  </si>
  <si>
    <t>.0970</t>
  </si>
  <si>
    <t>Wpływy  z różnych  dochodów</t>
  </si>
  <si>
    <t xml:space="preserve">Pomoc  materialna   dla  uczniów  </t>
  </si>
  <si>
    <t>Dotacje celowe otrzymane od samorządu województwa na zadania bieżące realizowane na podstawie porozumień (umów) między j.s.t.</t>
  </si>
  <si>
    <t>Wpływy  z  innych  lokalnych  opłat  pobieranych  przez  j.s.t. na  podstawie  odrębnych  ustaw</t>
  </si>
  <si>
    <t>.0920</t>
  </si>
  <si>
    <t>Pozostałe odsetki</t>
  </si>
  <si>
    <t xml:space="preserve">Wpływy  z  różnych  dochodów </t>
  </si>
  <si>
    <t>2005  rok</t>
  </si>
  <si>
    <t>Dotacje celowe otrzymane z gminy na zadania bieżące realizowane na podstawie porozumień (umów) między jednostkami samorządu terytorialnego  </t>
  </si>
  <si>
    <t xml:space="preserve">3.GOSPODARSTWO  POMOCNICZE  ROLNO- WARSZTATOWE ZESPOŁU   SZKÓŁ   CKU   W   GRONOWIE </t>
  </si>
  <si>
    <t xml:space="preserve">2.  GOSPODARSTWO   POMOCNICZE   W  BROWINIE </t>
  </si>
  <si>
    <t>3.STOŁÓWKA  SZKOLNA  DLA   ZESPOŁU  SZKÓŁ   SPECJALNYCH  W   CHEŁMŻY - 801-80148</t>
  </si>
  <si>
    <t xml:space="preserve">spłata   kredytu  z  2008 </t>
  </si>
  <si>
    <t xml:space="preserve">Kary i odszkodowania wypłacone   na  rzecz  osób  fizycznych </t>
  </si>
  <si>
    <t xml:space="preserve">Filharmonie , orkiestry , chóry ,  kapele </t>
  </si>
  <si>
    <t xml:space="preserve">Powiatowe  Centra Pomocy  Rodzinie </t>
  </si>
  <si>
    <t>Priorytet  IX -  Rozwój  wykształcenia  i  kompetencji   w  regionach  .  Działanie  9.2  Podniesienie  atrakcyjności  i  jakości  szkolnictwa  zawodowego.  Tytuł  projektu  : Lepsza  szkoła ,  lepszy  zawód -  wzmocnienie  oferty   edukacyjnej   szkolnictwa  zawodowego   w  powiecie  toruńskim w   roku  szkolnym   2009/2010</t>
  </si>
  <si>
    <t>„ Przebudowa  i  dostosowanie   do  obowiązujących   standardów dla  Domu  Pomocy  Społecznej   budynku  Zespołu   nr   2   DPS   w  Browinie „  .</t>
  </si>
  <si>
    <t>600/921</t>
  </si>
  <si>
    <t>60014/92195</t>
  </si>
  <si>
    <t>Droga 2004 Łążyn-Zarośla  Cienkie -Smolno od km 0+550 do km 1+135 na dł. 0,585 km</t>
  </si>
  <si>
    <t>Wpływ z tytułu pomocy finansowej udzielanej między jednostkami samorządu terytorialnego na dofinansowanie własnych zakupów inwestycyjnych</t>
  </si>
  <si>
    <t>Wynagrodzenie bezosobowe</t>
  </si>
  <si>
    <t>Dotacja celowa na pomoc finansową udzielaną pomiędzy j.s.t. na dofinansowanie zadań inwestycyjnych i zakupów inwestycyjnych</t>
  </si>
  <si>
    <t>Dotacje celowe w ramach programów finansowanych z udziałem środków europejskich oraz środków, o których mowa w art. 5 ust. 1 pkt 3 oraz ust. 3 pkt 5 i 6 ustawy, lub płatności w ramach budżetu środków europejskich</t>
  </si>
  <si>
    <t xml:space="preserve">Dotacje   rozwojowe   (    z  projektów  roku  2009 ) , dotacje celowe  z  budżetu  UE  2010 </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</si>
  <si>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</si>
  <si>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</si>
  <si>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</si>
  <si>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</si>
  <si>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</si>
  <si>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</si>
  <si>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</si>
  <si>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</si>
  <si>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</si>
  <si>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</si>
  <si>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</si>
  <si>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</si>
  <si>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</si>
  <si>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</si>
  <si>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</si>
  <si>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</si>
  <si>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</si>
  <si>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</si>
  <si>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</si>
  <si>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</si>
  <si>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</si>
  <si>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</si>
  <si>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</si>
  <si>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</si>
  <si>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</si>
  <si>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</si>
  <si>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</si>
  <si>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</si>
  <si>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</si>
  <si>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</si>
  <si>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</si>
  <si>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</si>
  <si>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</si>
  <si>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</si>
  <si>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</si>
  <si>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</si>
  <si>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</si>
  <si>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</si>
  <si>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</si>
  <si>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</si>
  <si>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</si>
  <si>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</si>
  <si>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</si>
  <si>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</si>
  <si>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</si>
  <si>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</si>
  <si>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</si>
  <si>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</si>
  <si>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</si>
  <si>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</si>
  <si>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</si>
  <si>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</si>
  <si>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</si>
  <si>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</si>
  <si>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</si>
  <si>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</si>
  <si>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</si>
  <si>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Plan przychodów i wydatków zakładów budżetowych, gospodarstw pomocniczych</t>
  </si>
  <si>
    <t>Lp.</t>
  </si>
  <si>
    <t>Klasyfikacja
§</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</si>
  <si>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</si>
  <si>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</si>
  <si>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</si>
  <si>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</si>
  <si>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</si>
  <si>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</si>
  <si>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</si>
  <si>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</si>
  <si>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</si>
  <si>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Przychody*</t>
  </si>
  <si>
    <t>Planowane wydatki</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</si>
  <si>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</si>
  <si>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</si>
  <si>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</si>
  <si>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</si>
  <si>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</si>
  <si>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</si>
  <si>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</si>
  <si>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</si>
  <si>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</si>
  <si>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</si>
  <si>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</si>
  <si>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</si>
  <si>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</si>
  <si>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</si>
  <si>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</si>
  <si>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</si>
  <si>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</si>
  <si>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</si>
  <si>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</si>
  <si>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</si>
  <si>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</si>
  <si>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</si>
  <si>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</si>
  <si>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</si>
  <si>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</si>
  <si>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</si>
  <si>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Dotacje</t>
  </si>
  <si>
    <t>Ogółem wydatki</t>
  </si>
  <si>
    <t>Gospodarki Zasobem Geodezyjnym i Kartograficznym</t>
  </si>
  <si>
    <t>pożyczek</t>
  </si>
  <si>
    <t>kredytów</t>
  </si>
  <si>
    <t>pożyczki</t>
  </si>
  <si>
    <t>kredyty,  w tym:</t>
  </si>
  <si>
    <t>Pożyczki, kredyty i obligacje na prefinansowanie</t>
  </si>
  <si>
    <t>Prognozowane dochody budżetowe</t>
  </si>
  <si>
    <t>Relacje do dochodów (w %):</t>
  </si>
  <si>
    <t>wynagrodzenia</t>
  </si>
  <si>
    <t>pochodne od wynagrodzeń</t>
  </si>
  <si>
    <t>Wydatki
bieżące</t>
  </si>
  <si>
    <t>Wydatki
majątkowe</t>
  </si>
  <si>
    <t>Dotacje
ogółem</t>
  </si>
  <si>
    <t>Nazwa zadania inwestycyjnego
i okres realizacji
(w latach)</t>
  </si>
  <si>
    <t>Wydatki* na programy i projekty realizowane ze środków pochodzących z funduszy strukturalnych i Funduszu Spójności</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</si>
  <si>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</si>
  <si>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</si>
  <si>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</si>
  <si>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</si>
  <si>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</si>
  <si>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</si>
  <si>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</si>
  <si>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</si>
  <si>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</si>
  <si>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</si>
  <si>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Źródło dochodów</t>
  </si>
  <si>
    <t>§*</t>
  </si>
  <si>
    <t>Wydatki na obsługę długu</t>
  </si>
  <si>
    <t>§**</t>
  </si>
  <si>
    <t>Jednostka organizacyjna realizująca program lub koordynująca wykonanie programu</t>
  </si>
  <si>
    <t>dochody własne jst</t>
  </si>
  <si>
    <t xml:space="preserve">wkład  własny  niepieniężny </t>
  </si>
  <si>
    <t>1.4</t>
  </si>
  <si>
    <t>1.5</t>
  </si>
  <si>
    <t>środki  UE  lub  kredyty planowane   pod  współfinansowanie  z UE ,  kredyty</t>
  </si>
  <si>
    <t xml:space="preserve">Pomoc  materialna  dla  uczniów </t>
  </si>
  <si>
    <t xml:space="preserve">Pozostała   działalność </t>
  </si>
  <si>
    <t xml:space="preserve">Dotacje celowe otrzymane    z budżetu państwa na   inwestycje  i  zakupy  inwestycyjne  własne powiatu </t>
  </si>
  <si>
    <t>powtarzają się paragrafy</t>
  </si>
  <si>
    <t>Zakup usług dostępu do  sieci Internet</t>
  </si>
  <si>
    <t xml:space="preserve">Urzędy  naczelnych  i  centralnych  organów  administracji  rządowej </t>
  </si>
  <si>
    <t xml:space="preserve">Uzupełnienie  udziału  części nieruchomości </t>
  </si>
  <si>
    <t xml:space="preserve">Zagospodarowanie terenów sportowych Szkół  Podstawowych oraz  Gimnazjum   w  Chełmży w tym  zagospodarowanie terenu  sportowego Zespołu  Szkół Specjalnych   w  Chełmży </t>
  </si>
  <si>
    <t>Priorytet  IX -  Rozwój  wykształcenia  i  kompetencji   w  regionach  .  Działanie  9.1.2 Wyrównywanie szans  edukacyjnych  uczniów  z  grup   o  utrudnionym  dostępie  do  edukacji  oraz  zmniejszenie  różnic   w  jakości  usług   edukacyjnych   Tytuł  projektu  : Czego Jaś się nie nauczy... - wzbogacenie oferty edukacyjnej szkół realizujących kształcenie ogólne z terenu powiatu toruńskiego w roku szkolnym 2009/2010</t>
  </si>
  <si>
    <t xml:space="preserve">Dotacje  przekazane  dla powiatu   na  zadania  bieżące  realizowane  na  podstawie  porozumień (  umów  ) między   j.s.t -  na  realizację   w  partnerstwie  z  powiatami  województwa  kujawsko-pomorskiego  projektu  UE  "Podniesienie atrakcyjności  i  jakości  szkolnictwa   zawodowego   na  terenie   województwa  kujawsko-pomorskiego   w  roku  szkolnym   2008/2009 .
</t>
  </si>
  <si>
    <t>Kwota  długu na   dzień 31.12.2009</t>
  </si>
  <si>
    <t>dział   900  r.  90019</t>
  </si>
  <si>
    <t>852  i  900</t>
  </si>
  <si>
    <t>85202,  90019</t>
  </si>
  <si>
    <t>600 i  900</t>
  </si>
  <si>
    <t>60014  i  90019</t>
  </si>
  <si>
    <t>80130 i  90019</t>
  </si>
  <si>
    <t>801  i  90019</t>
  </si>
  <si>
    <t>85202  i 90019</t>
  </si>
  <si>
    <t>801i  900</t>
  </si>
  <si>
    <t>80130  i  90019</t>
  </si>
  <si>
    <t>600  ,  900</t>
  </si>
  <si>
    <t>60014 ,90019</t>
  </si>
  <si>
    <t>60014 , 90019</t>
  </si>
  <si>
    <t>obligacje
i pożyczki</t>
  </si>
  <si>
    <t>„  Budowa  dróg  gminnych Nr 101117C,101121 i 101116C  w  miejscowości  Czernikowo ,  Jackowo ,  Steklinek wraz  z  przebudową skrzyżowania  z  drogą  powiatową  nr  2043C   w  miejscowości  Steklinek  „.</t>
  </si>
  <si>
    <t>75478/75020</t>
  </si>
  <si>
    <t>754/750</t>
  </si>
  <si>
    <t>Sprzęt  informatyczny  z   oprogramowaniem ,  inne  biurowe,  z  działu  754  -  8.308</t>
  </si>
  <si>
    <t>Dotacje celowe  otrzymane  z gminy na  zadania  bieżące  realizowane  na  podstawie  porozumień (umów między  jednostkami  samorządu  terytorialnego .</t>
  </si>
  <si>
    <t xml:space="preserve">Wykończenie  budynku  zajmowanego   na  potrzeby  Starostwa  Powiatowego na  ul. Towarowej  i  inwestycje   w  zasobach  powiatu (  w  tym  11.000   PUP  ) </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</si>
</sst>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 numFmtId="170" formatCode="[$-415]d\ mmmm\ yyyy"/>
    <numFmt numFmtId="171" formatCode="#,##0.0"/>
    <numFmt numFmtId="172" formatCode="#,##0.00&quot; zł&quot;"/>
    <numFmt numFmtId="173" formatCode="#,##0.0000"/>
  </numFmts>
  <fonts count="102">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9"/>
      <name val="Arial CE"/>
      <family val="2"/>
    </font>
    <font>
      <sz val="12"/>
      <name val="Arial CE"/>
      <family val="2"/>
    </font>
    <font>
      <sz val="8"/>
      <name val="Arial CE"/>
      <family val="2"/>
    </font>
    <font>
      <sz val="11"/>
      <name val="Arial"/>
      <family val="2"/>
    </font>
    <font>
      <b/>
      <sz val="8"/>
      <name val="Arial"/>
      <family val="2"/>
    </font>
    <font>
      <sz val="8"/>
      <name val="Arial"/>
      <family val="2"/>
    </font>
    <font>
      <sz val="6"/>
      <name val="Arial"/>
      <family val="2"/>
    </font>
    <font>
      <b/>
      <sz val="13"/>
      <name val="Arial CE"/>
      <family val="2"/>
    </font>
    <font>
      <sz val="10"/>
      <name val="Arial"/>
      <family val="2"/>
    </font>
    <font>
      <sz val="10"/>
      <color indexed="10"/>
      <name val="Arial"/>
      <family val="2"/>
    </font>
    <font>
      <i/>
      <sz val="10"/>
      <name val="Arial CE"/>
      <family val="0"/>
    </font>
    <font>
      <b/>
      <sz val="10"/>
      <name val="Arial"/>
      <family val="2"/>
    </font>
    <font>
      <u val="single"/>
      <sz val="12"/>
      <color indexed="12"/>
      <name val="Arial CE"/>
      <family val="0"/>
    </font>
    <font>
      <u val="single"/>
      <sz val="12"/>
      <color indexed="36"/>
      <name val="Arial CE"/>
      <family val="0"/>
    </font>
    <font>
      <sz val="5"/>
      <name val="Arial CE"/>
      <family val="2"/>
    </font>
    <font>
      <b/>
      <sz val="8"/>
      <name val="Arial CE"/>
      <family val="2"/>
    </font>
    <font>
      <b/>
      <u val="single"/>
      <sz val="10"/>
      <name val="Arial CE"/>
      <family val="2"/>
    </font>
    <font>
      <sz val="9"/>
      <name val="Arial"/>
      <family val="2"/>
    </font>
    <font>
      <sz val="12"/>
      <name val="Times New Roman"/>
      <family val="1"/>
    </font>
    <font>
      <b/>
      <sz val="7"/>
      <name val="Arial"/>
      <family val="2"/>
    </font>
    <font>
      <b/>
      <u val="single"/>
      <sz val="9"/>
      <name val="Arial CE"/>
      <family val="2"/>
    </font>
    <font>
      <sz val="11"/>
      <name val="Arial CE"/>
      <family val="2"/>
    </font>
    <font>
      <b/>
      <u val="single"/>
      <sz val="11"/>
      <name val="Arial CE"/>
      <family val="2"/>
    </font>
    <font>
      <b/>
      <sz val="9"/>
      <name val="Arial CE"/>
      <family val="2"/>
    </font>
    <font>
      <b/>
      <sz val="6"/>
      <name val="Arial"/>
      <family val="2"/>
    </font>
    <font>
      <b/>
      <sz val="6"/>
      <name val="Arial CE"/>
      <family val="2"/>
    </font>
    <font>
      <sz val="5"/>
      <name val="Arial"/>
      <family val="2"/>
    </font>
    <font>
      <sz val="11"/>
      <name val="Times New Roman"/>
      <family val="1"/>
    </font>
    <font>
      <sz val="8"/>
      <name val="Times New Roman"/>
      <family val="1"/>
    </font>
    <font>
      <sz val="10"/>
      <name val="Times New Roman"/>
      <family val="1"/>
    </font>
    <font>
      <sz val="14"/>
      <name val="Times New Roman"/>
      <family val="1"/>
    </font>
    <font>
      <b/>
      <u val="single"/>
      <sz val="12"/>
      <name val="Times New Roman"/>
      <family val="1"/>
    </font>
    <font>
      <b/>
      <sz val="12"/>
      <name val="Times New Roman"/>
      <family val="1"/>
    </font>
    <font>
      <b/>
      <u val="single"/>
      <sz val="12"/>
      <name val="Arial CE"/>
      <family val="2"/>
    </font>
    <font>
      <sz val="12"/>
      <name val="Arial"/>
      <family val="2"/>
    </font>
    <font>
      <b/>
      <u val="single"/>
      <sz val="9"/>
      <name val="Times New Roman"/>
      <family val="1"/>
    </font>
    <font>
      <b/>
      <sz val="9"/>
      <name val="Times New Roman"/>
      <family val="1"/>
    </font>
    <font>
      <b/>
      <u val="single"/>
      <sz val="8"/>
      <name val="Times New Roman"/>
      <family val="1"/>
    </font>
    <font>
      <b/>
      <sz val="8"/>
      <name val="Times New Roman"/>
      <family val="1"/>
    </font>
    <font>
      <sz val="7"/>
      <name val="Arial"/>
      <family val="2"/>
    </font>
    <font>
      <b/>
      <sz val="12"/>
      <name val="Arial"/>
      <family val="2"/>
    </font>
    <font>
      <b/>
      <u val="single"/>
      <sz val="12"/>
      <name val="Arial"/>
      <family val="2"/>
    </font>
    <font>
      <b/>
      <sz val="11"/>
      <name val="Calibri"/>
      <family val="2"/>
    </font>
    <font>
      <sz val="10"/>
      <color indexed="10"/>
      <name val="Arial CE"/>
      <family val="2"/>
    </font>
    <font>
      <b/>
      <sz val="9"/>
      <name val="Arial"/>
      <family val="2"/>
    </font>
    <font>
      <u val="single"/>
      <sz val="8"/>
      <name val="Times New Roman"/>
      <family val="1"/>
    </font>
    <font>
      <sz val="11"/>
      <color indexed="8"/>
      <name val="Czcionka tekstu podstawowego"/>
      <family val="0"/>
    </font>
    <font>
      <sz val="7"/>
      <name val="Arial CE"/>
      <family val="0"/>
    </font>
    <font>
      <b/>
      <sz val="10"/>
      <color indexed="10"/>
      <name val="Arial"/>
      <family val="2"/>
    </font>
    <font>
      <sz val="10"/>
      <color indexed="55"/>
      <name val="Arial CE"/>
      <family val="0"/>
    </font>
    <font>
      <sz val="8"/>
      <color indexed="55"/>
      <name val="Arial CE"/>
      <family val="2"/>
    </font>
    <font>
      <b/>
      <u val="single"/>
      <sz val="8"/>
      <name val="Arial CE"/>
      <family val="0"/>
    </font>
    <font>
      <b/>
      <u val="single"/>
      <sz val="8"/>
      <name val="Arial"/>
      <family val="2"/>
    </font>
    <font>
      <sz val="9"/>
      <name val="Times New Roman"/>
      <family val="1"/>
    </font>
    <font>
      <b/>
      <u val="single"/>
      <sz val="9"/>
      <name val="Arial"/>
      <family val="2"/>
    </font>
    <font>
      <sz val="12"/>
      <color indexed="10"/>
      <name val="Arial"/>
      <family val="2"/>
    </font>
    <font>
      <sz val="8"/>
      <name val="Calibri"/>
      <family val="2"/>
    </font>
    <font>
      <sz val="11"/>
      <name val="Calibri"/>
      <family val="2"/>
    </font>
    <font>
      <sz val="14"/>
      <name val="Arial"/>
      <family val="2"/>
    </font>
    <font>
      <b/>
      <sz val="11"/>
      <name val="Arial"/>
      <family val="2"/>
    </font>
    <font>
      <sz val="8"/>
      <color indexed="10"/>
      <name val="Arial"/>
      <family val="2"/>
    </font>
    <font>
      <sz val="8"/>
      <color indexed="10"/>
      <name val="Arial CE"/>
      <family val="2"/>
    </font>
    <font>
      <u val="single"/>
      <sz val="10"/>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
      <patternFill patternType="solid">
        <fgColor indexed="9"/>
        <bgColor indexed="64"/>
      </patternFill>
    </fill>
    <fill>
      <patternFill patternType="solid">
        <fgColor indexed="14"/>
        <bgColor indexed="64"/>
      </patternFill>
    </fill>
    <fill>
      <patternFill patternType="solid">
        <fgColor indexed="10"/>
        <bgColor indexed="64"/>
      </patternFill>
    </fill>
    <fill>
      <patternFill patternType="solid">
        <fgColor indexed="55"/>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thin"/>
      <right style="thin"/>
      <top style="hair"/>
      <bottom>
        <color indexed="63"/>
      </bottom>
    </border>
    <border>
      <left style="thin"/>
      <right style="thin"/>
      <top>
        <color indexed="63"/>
      </top>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medium"/>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hair"/>
      <bottom style="hair"/>
    </border>
    <border>
      <left style="thin"/>
      <right>
        <color indexed="63"/>
      </right>
      <top style="hair"/>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1" applyNumberFormat="0" applyAlignment="0" applyProtection="0"/>
    <xf numFmtId="0" fontId="88" fillId="27" borderId="2" applyNumberFormat="0" applyAlignment="0" applyProtection="0"/>
    <xf numFmtId="0" fontId="8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0" fontId="90" fillId="0" borderId="3" applyNumberFormat="0" applyFill="0" applyAlignment="0" applyProtection="0"/>
    <xf numFmtId="0" fontId="91" fillId="29" borderId="4" applyNumberFormat="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30" borderId="0" applyNumberFormat="0" applyBorder="0" applyAlignment="0" applyProtection="0"/>
    <xf numFmtId="0" fontId="9" fillId="0" borderId="0">
      <alignment/>
      <protection/>
    </xf>
    <xf numFmtId="0" fontId="96" fillId="27" borderId="1" applyNumberFormat="0" applyAlignment="0" applyProtection="0"/>
    <xf numFmtId="0" fontId="19" fillId="0" borderId="0" applyNumberFormat="0" applyFill="0" applyBorder="0" applyAlignment="0" applyProtection="0"/>
    <xf numFmtId="9" fontId="0" fillId="0" borderId="0" applyFont="0" applyFill="0" applyBorder="0" applyAlignment="0" applyProtection="0"/>
    <xf numFmtId="0" fontId="97" fillId="0" borderId="8" applyNumberFormat="0" applyFill="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01" fillId="32" borderId="0" applyNumberFormat="0" applyBorder="0" applyAlignment="0" applyProtection="0"/>
  </cellStyleXfs>
  <cellXfs count="847">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right" vertical="center"/>
    </xf>
    <xf numFmtId="0" fontId="5" fillId="0" borderId="0" xfId="0" applyFont="1" applyAlignment="1">
      <alignment horizontal="left" vertical="center" wrapText="1"/>
    </xf>
    <xf numFmtId="0" fontId="11" fillId="0" borderId="0" xfId="52" applyFont="1">
      <alignment/>
      <protection/>
    </xf>
    <xf numFmtId="0" fontId="12" fillId="0" borderId="10" xfId="52" applyFont="1" applyBorder="1" applyAlignment="1">
      <alignment horizontal="center" vertical="center"/>
      <protection/>
    </xf>
    <xf numFmtId="0" fontId="3" fillId="0" borderId="0" xfId="0" applyFont="1" applyAlignment="1">
      <alignment horizontal="center" vertical="center" wrapText="1"/>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0" borderId="0" xfId="0" applyFont="1" applyAlignment="1">
      <alignment horizontal="left" vertical="center"/>
    </xf>
    <xf numFmtId="0" fontId="1" fillId="0" borderId="1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2" xfId="0" applyBorder="1" applyAlignment="1">
      <alignment horizontal="center" vertical="center"/>
    </xf>
    <xf numFmtId="0" fontId="4" fillId="0" borderId="10" xfId="0" applyFont="1" applyBorder="1" applyAlignment="1">
      <alignment horizontal="left" vertical="center"/>
    </xf>
    <xf numFmtId="0" fontId="14" fillId="0" borderId="0" xfId="0" applyFont="1" applyAlignment="1">
      <alignment vertical="center"/>
    </xf>
    <xf numFmtId="0" fontId="10" fillId="33" borderId="10" xfId="52" applyFont="1" applyFill="1" applyBorder="1" applyAlignment="1">
      <alignment horizontal="center" vertical="center" wrapText="1"/>
      <protection/>
    </xf>
    <xf numFmtId="0" fontId="10" fillId="0" borderId="10" xfId="52" applyFont="1" applyBorder="1">
      <alignment/>
      <protection/>
    </xf>
    <xf numFmtId="0" fontId="0" fillId="0" borderId="0" xfId="0" applyFont="1" applyAlignment="1">
      <alignment vertical="center"/>
    </xf>
    <xf numFmtId="0" fontId="15" fillId="0" borderId="0" xfId="0" applyFont="1" applyAlignment="1">
      <alignment vertical="center"/>
    </xf>
    <xf numFmtId="0" fontId="15" fillId="0" borderId="0" xfId="0" applyFont="1" applyAlignment="1">
      <alignment/>
    </xf>
    <xf numFmtId="0" fontId="17" fillId="0" borderId="10" xfId="0" applyFont="1" applyBorder="1" applyAlignment="1">
      <alignment horizontal="center" vertical="center" wrapText="1"/>
    </xf>
    <xf numFmtId="0" fontId="14" fillId="0" borderId="0" xfId="0" applyFont="1" applyAlignment="1">
      <alignment/>
    </xf>
    <xf numFmtId="0" fontId="14" fillId="0" borderId="0" xfId="0" applyFont="1" applyAlignment="1">
      <alignment horizontal="center" vertical="center"/>
    </xf>
    <xf numFmtId="0" fontId="10" fillId="0" borderId="11" xfId="52" applyFont="1" applyBorder="1" applyAlignment="1">
      <alignment horizontal="center"/>
      <protection/>
    </xf>
    <xf numFmtId="0" fontId="17" fillId="0" borderId="10" xfId="0" applyFont="1" applyBorder="1" applyAlignment="1">
      <alignment horizontal="center" wrapText="1"/>
    </xf>
    <xf numFmtId="0" fontId="17" fillId="0" borderId="10" xfId="0" applyFont="1" applyBorder="1" applyAlignment="1">
      <alignment horizontal="left" wrapText="1" indent="1"/>
    </xf>
    <xf numFmtId="0" fontId="17" fillId="0" borderId="10" xfId="0" applyFont="1" applyBorder="1" applyAlignment="1">
      <alignment wrapText="1"/>
    </xf>
    <xf numFmtId="0" fontId="14" fillId="0" borderId="10" xfId="0" applyFont="1" applyBorder="1" applyAlignment="1">
      <alignment horizontal="left" wrapText="1" indent="1"/>
    </xf>
    <xf numFmtId="0" fontId="14" fillId="0" borderId="10" xfId="0" applyFont="1" applyBorder="1" applyAlignment="1">
      <alignment horizontal="center" wrapText="1"/>
    </xf>
    <xf numFmtId="0" fontId="12" fillId="0" borderId="10" xfId="0" applyFont="1" applyBorder="1" applyAlignment="1">
      <alignment horizontal="center" wrapText="1"/>
    </xf>
    <xf numFmtId="0" fontId="12" fillId="0" borderId="0" xfId="0" applyFont="1" applyAlignment="1">
      <alignment/>
    </xf>
    <xf numFmtId="0" fontId="17" fillId="33" borderId="10" xfId="0" applyFont="1" applyFill="1" applyBorder="1" applyAlignment="1">
      <alignment horizontal="center" vertical="center" wrapText="1"/>
    </xf>
    <xf numFmtId="0" fontId="0" fillId="0" borderId="0" xfId="0" applyAlignment="1">
      <alignment horizontal="right" vertical="center"/>
    </xf>
    <xf numFmtId="0" fontId="17" fillId="0" borderId="10"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0" xfId="0" applyFont="1" applyBorder="1" applyAlignment="1">
      <alignment horizontal="center" vertical="center"/>
    </xf>
    <xf numFmtId="0" fontId="10" fillId="0" borderId="0" xfId="52" applyFont="1">
      <alignment/>
      <protection/>
    </xf>
    <xf numFmtId="0" fontId="20" fillId="0" borderId="10" xfId="0" applyFont="1" applyBorder="1" applyAlignment="1">
      <alignment horizontal="center" vertical="center"/>
    </xf>
    <xf numFmtId="0" fontId="20" fillId="0" borderId="0" xfId="0" applyFont="1" applyAlignment="1">
      <alignment vertical="center"/>
    </xf>
    <xf numFmtId="0" fontId="1" fillId="0" borderId="0" xfId="0" applyFont="1" applyAlignment="1">
      <alignment/>
    </xf>
    <xf numFmtId="0" fontId="14" fillId="0" borderId="0" xfId="0" applyFont="1" applyAlignment="1">
      <alignment horizontal="left" vertical="center"/>
    </xf>
    <xf numFmtId="0" fontId="16" fillId="0" borderId="0" xfId="0" applyFont="1" applyAlignment="1">
      <alignment vertical="center"/>
    </xf>
    <xf numFmtId="0" fontId="4" fillId="33" borderId="14" xfId="0" applyFont="1" applyFill="1" applyBorder="1" applyAlignment="1">
      <alignment horizontal="center" vertical="center" wrapText="1"/>
    </xf>
    <xf numFmtId="0" fontId="16" fillId="0" borderId="0" xfId="0" applyFont="1" applyAlignment="1">
      <alignment/>
    </xf>
    <xf numFmtId="0" fontId="17" fillId="0" borderId="0" xfId="0" applyFont="1" applyAlignment="1">
      <alignment/>
    </xf>
    <xf numFmtId="0" fontId="14" fillId="0" borderId="10" xfId="0" applyFont="1" applyBorder="1" applyAlignment="1">
      <alignment wrapText="1"/>
    </xf>
    <xf numFmtId="1" fontId="8" fillId="0" borderId="10" xfId="0" applyNumberFormat="1" applyFont="1" applyBorder="1" applyAlignment="1">
      <alignment vertical="center" wrapText="1" shrinkToFit="1"/>
    </xf>
    <xf numFmtId="0" fontId="0" fillId="0" borderId="10" xfId="0" applyBorder="1" applyAlignment="1">
      <alignment/>
    </xf>
    <xf numFmtId="3" fontId="0" fillId="0" borderId="0" xfId="0" applyNumberFormat="1" applyAlignment="1">
      <alignment vertical="center"/>
    </xf>
    <xf numFmtId="3" fontId="8" fillId="0" borderId="0" xfId="0" applyNumberFormat="1" applyFont="1" applyAlignment="1">
      <alignment horizontal="right" vertical="center"/>
    </xf>
    <xf numFmtId="3" fontId="4" fillId="33" borderId="10" xfId="0" applyNumberFormat="1" applyFont="1" applyFill="1" applyBorder="1" applyAlignment="1">
      <alignment horizontal="right" vertical="center"/>
    </xf>
    <xf numFmtId="3" fontId="4" fillId="0" borderId="10" xfId="0" applyNumberFormat="1" applyFont="1" applyBorder="1" applyAlignment="1">
      <alignment horizontal="right" vertical="center"/>
    </xf>
    <xf numFmtId="3" fontId="7" fillId="0" borderId="0" xfId="0" applyNumberFormat="1" applyFont="1" applyAlignment="1">
      <alignment horizontal="right" vertical="center"/>
    </xf>
    <xf numFmtId="3" fontId="0" fillId="0" borderId="0" xfId="0" applyNumberFormat="1" applyAlignment="1">
      <alignment horizontal="right" vertical="center"/>
    </xf>
    <xf numFmtId="3" fontId="0" fillId="0" borderId="0" xfId="0" applyNumberFormat="1" applyAlignment="1">
      <alignment/>
    </xf>
    <xf numFmtId="3" fontId="0" fillId="0" borderId="10" xfId="0" applyNumberFormat="1" applyBorder="1" applyAlignment="1">
      <alignment vertical="center"/>
    </xf>
    <xf numFmtId="0" fontId="0" fillId="0" borderId="10" xfId="0" applyFont="1" applyBorder="1" applyAlignment="1">
      <alignment/>
    </xf>
    <xf numFmtId="0" fontId="0" fillId="0" borderId="10" xfId="0" applyFont="1" applyBorder="1" applyAlignment="1">
      <alignment wrapText="1"/>
    </xf>
    <xf numFmtId="3" fontId="0" fillId="0" borderId="10" xfId="0" applyNumberFormat="1" applyFont="1" applyBorder="1" applyAlignment="1">
      <alignment vertical="center"/>
    </xf>
    <xf numFmtId="3" fontId="0" fillId="0" borderId="10" xfId="0" applyNumberFormat="1" applyBorder="1" applyAlignment="1">
      <alignment/>
    </xf>
    <xf numFmtId="1" fontId="8" fillId="0" borderId="10" xfId="0" applyNumberFormat="1" applyFont="1" applyBorder="1" applyAlignment="1">
      <alignment vertical="center" wrapText="1" shrinkToFit="1"/>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3" fontId="4" fillId="33" borderId="10" xfId="0" applyNumberFormat="1" applyFont="1" applyFill="1" applyBorder="1" applyAlignment="1">
      <alignment horizontal="center" vertical="center" wrapText="1"/>
    </xf>
    <xf numFmtId="3" fontId="1" fillId="0" borderId="10" xfId="0" applyNumberFormat="1" applyFont="1" applyBorder="1" applyAlignment="1">
      <alignment horizontal="center" vertical="center"/>
    </xf>
    <xf numFmtId="168" fontId="8" fillId="0" borderId="10" xfId="0" applyNumberFormat="1" applyFont="1" applyBorder="1" applyAlignment="1">
      <alignment wrapText="1"/>
    </xf>
    <xf numFmtId="3" fontId="3" fillId="0" borderId="0" xfId="0" applyNumberFormat="1" applyFont="1" applyAlignment="1">
      <alignment horizontal="center" vertical="center" wrapText="1"/>
    </xf>
    <xf numFmtId="0" fontId="23" fillId="0" borderId="10" xfId="0" applyFont="1" applyBorder="1" applyAlignment="1">
      <alignment wrapText="1"/>
    </xf>
    <xf numFmtId="3" fontId="8" fillId="0" borderId="0" xfId="0" applyNumberFormat="1" applyFont="1" applyAlignment="1">
      <alignment horizontal="right" vertical="top"/>
    </xf>
    <xf numFmtId="3" fontId="20" fillId="0" borderId="10" xfId="0" applyNumberFormat="1" applyFont="1" applyBorder="1" applyAlignment="1">
      <alignment horizontal="center"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3" xfId="0" applyNumberFormat="1" applyFont="1" applyBorder="1" applyAlignment="1">
      <alignment vertical="center"/>
    </xf>
    <xf numFmtId="3" fontId="0" fillId="0" borderId="0" xfId="0" applyNumberFormat="1" applyBorder="1" applyAlignment="1">
      <alignment vertical="center"/>
    </xf>
    <xf numFmtId="3" fontId="15" fillId="0" borderId="0" xfId="0" applyNumberFormat="1" applyFont="1" applyAlignment="1">
      <alignment vertical="center"/>
    </xf>
    <xf numFmtId="4" fontId="3" fillId="0" borderId="0" xfId="0" applyNumberFormat="1" applyFont="1" applyAlignment="1">
      <alignment horizontal="center" vertical="center"/>
    </xf>
    <xf numFmtId="4" fontId="8" fillId="0" borderId="0" xfId="0" applyNumberFormat="1" applyFont="1" applyAlignment="1">
      <alignment horizontal="right" vertical="center"/>
    </xf>
    <xf numFmtId="4" fontId="0" fillId="0" borderId="0" xfId="0" applyNumberFormat="1" applyAlignment="1">
      <alignment/>
    </xf>
    <xf numFmtId="4" fontId="0" fillId="0" borderId="10" xfId="0" applyNumberFormat="1" applyFont="1" applyBorder="1" applyAlignment="1">
      <alignment/>
    </xf>
    <xf numFmtId="3" fontId="3" fillId="0" borderId="0" xfId="0" applyNumberFormat="1" applyFont="1" applyAlignment="1">
      <alignment horizontal="center" vertical="center"/>
    </xf>
    <xf numFmtId="3" fontId="6" fillId="0" borderId="0" xfId="0" applyNumberFormat="1" applyFont="1" applyAlignment="1">
      <alignment horizontal="right" vertical="center"/>
    </xf>
    <xf numFmtId="3" fontId="4" fillId="33" borderId="10" xfId="0" applyNumberFormat="1" applyFont="1" applyFill="1" applyBorder="1" applyAlignment="1">
      <alignment horizontal="center" vertical="center"/>
    </xf>
    <xf numFmtId="0" fontId="21" fillId="33" borderId="10" xfId="0" applyFont="1" applyFill="1" applyBorder="1" applyAlignment="1">
      <alignment horizontal="center" vertical="center" wrapText="1"/>
    </xf>
    <xf numFmtId="3" fontId="0" fillId="0" borderId="11" xfId="0" applyNumberFormat="1" applyBorder="1" applyAlignment="1">
      <alignment vertical="center"/>
    </xf>
    <xf numFmtId="3" fontId="2" fillId="0" borderId="10" xfId="0" applyNumberFormat="1" applyFont="1" applyBorder="1" applyAlignment="1">
      <alignment vertical="center"/>
    </xf>
    <xf numFmtId="1" fontId="0" fillId="0" borderId="10" xfId="0" applyNumberFormat="1" applyBorder="1" applyAlignment="1">
      <alignment vertical="center"/>
    </xf>
    <xf numFmtId="3" fontId="4" fillId="0" borderId="10" xfId="0" applyNumberFormat="1" applyFont="1" applyBorder="1" applyAlignment="1">
      <alignment vertical="center"/>
    </xf>
    <xf numFmtId="3" fontId="2" fillId="0" borderId="10"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0" xfId="0" applyNumberFormat="1" applyFont="1" applyBorder="1" applyAlignment="1">
      <alignment vertical="center"/>
    </xf>
    <xf numFmtId="0" fontId="0" fillId="0" borderId="10" xfId="0" applyFont="1" applyBorder="1" applyAlignment="1">
      <alignment horizontal="left" vertical="center"/>
    </xf>
    <xf numFmtId="3" fontId="0" fillId="0" borderId="10" xfId="0" applyNumberFormat="1" applyFont="1" applyBorder="1" applyAlignment="1">
      <alignment horizontal="right" vertical="center"/>
    </xf>
    <xf numFmtId="0" fontId="14" fillId="0" borderId="10" xfId="0" applyFont="1" applyBorder="1" applyAlignment="1">
      <alignment/>
    </xf>
    <xf numFmtId="0" fontId="14" fillId="0" borderId="17" xfId="0" applyFont="1" applyBorder="1" applyAlignment="1">
      <alignment horizontal="left" wrapText="1" indent="1"/>
    </xf>
    <xf numFmtId="3" fontId="14" fillId="0" borderId="10" xfId="0" applyNumberFormat="1" applyFont="1" applyBorder="1" applyAlignment="1">
      <alignment horizontal="right" vertical="top" wrapText="1"/>
    </xf>
    <xf numFmtId="3" fontId="14" fillId="0" borderId="10" xfId="0" applyNumberFormat="1" applyFont="1" applyBorder="1" applyAlignment="1">
      <alignment horizontal="right" vertical="center" wrapText="1"/>
    </xf>
    <xf numFmtId="3" fontId="0" fillId="0" borderId="10" xfId="0" applyNumberFormat="1" applyFill="1" applyBorder="1" applyAlignment="1">
      <alignment horizontal="right" wrapText="1"/>
    </xf>
    <xf numFmtId="3" fontId="0" fillId="0" borderId="10" xfId="0" applyNumberFormat="1" applyBorder="1" applyAlignment="1">
      <alignment horizontal="right" wrapText="1"/>
    </xf>
    <xf numFmtId="3" fontId="17" fillId="0" borderId="10" xfId="0" applyNumberFormat="1" applyFont="1" applyBorder="1" applyAlignment="1">
      <alignment horizontal="right" wrapText="1"/>
    </xf>
    <xf numFmtId="3" fontId="14" fillId="0" borderId="10" xfId="0" applyNumberFormat="1" applyFont="1" applyBorder="1" applyAlignment="1">
      <alignment horizontal="right" wrapText="1"/>
    </xf>
    <xf numFmtId="3" fontId="0" fillId="0" borderId="10" xfId="0" applyNumberFormat="1" applyBorder="1" applyAlignment="1">
      <alignment horizontal="right" shrinkToFit="1"/>
    </xf>
    <xf numFmtId="3" fontId="14" fillId="0" borderId="18" xfId="0" applyNumberFormat="1" applyFont="1" applyBorder="1" applyAlignment="1">
      <alignment horizontal="right" vertical="top" wrapText="1"/>
    </xf>
    <xf numFmtId="3" fontId="8" fillId="0" borderId="10" xfId="0" applyNumberFormat="1" applyFont="1" applyBorder="1" applyAlignment="1">
      <alignment horizontal="right" shrinkToFit="1"/>
    </xf>
    <xf numFmtId="3" fontId="0" fillId="0" borderId="10" xfId="0" applyNumberFormat="1" applyBorder="1" applyAlignment="1">
      <alignment horizontal="right"/>
    </xf>
    <xf numFmtId="3" fontId="17" fillId="0" borderId="10" xfId="0" applyNumberFormat="1" applyFont="1" applyBorder="1" applyAlignment="1">
      <alignment horizontal="right" vertical="top" wrapText="1"/>
    </xf>
    <xf numFmtId="10" fontId="14" fillId="0" borderId="10" xfId="0" applyNumberFormat="1" applyFont="1" applyBorder="1" applyAlignment="1">
      <alignment horizontal="right" vertical="top" wrapText="1"/>
    </xf>
    <xf numFmtId="3" fontId="0" fillId="0" borderId="12" xfId="0" applyNumberFormat="1" applyBorder="1" applyAlignment="1">
      <alignment vertical="center"/>
    </xf>
    <xf numFmtId="3" fontId="0" fillId="0" borderId="12" xfId="0" applyNumberFormat="1" applyBorder="1" applyAlignment="1">
      <alignment horizontal="center" vertical="center"/>
    </xf>
    <xf numFmtId="3" fontId="0" fillId="0" borderId="13" xfId="0" applyNumberFormat="1" applyBorder="1" applyAlignment="1">
      <alignment vertical="center"/>
    </xf>
    <xf numFmtId="3" fontId="0" fillId="0" borderId="13" xfId="0" applyNumberFormat="1" applyBorder="1" applyAlignment="1">
      <alignment horizontal="center" vertical="center"/>
    </xf>
    <xf numFmtId="0" fontId="11" fillId="0" borderId="10" xfId="52" applyFont="1" applyBorder="1">
      <alignment/>
      <protection/>
    </xf>
    <xf numFmtId="0" fontId="11" fillId="0" borderId="10" xfId="52" applyFont="1" applyBorder="1" applyAlignment="1">
      <alignment wrapText="1"/>
      <protection/>
    </xf>
    <xf numFmtId="3" fontId="11" fillId="0" borderId="10" xfId="52" applyNumberFormat="1" applyFont="1" applyBorder="1">
      <alignment/>
      <protection/>
    </xf>
    <xf numFmtId="0" fontId="11" fillId="0" borderId="10" xfId="52" applyFont="1" applyBorder="1" applyAlignment="1">
      <alignment/>
      <protection/>
    </xf>
    <xf numFmtId="3" fontId="10" fillId="0" borderId="10" xfId="52" applyNumberFormat="1" applyFont="1" applyBorder="1">
      <alignment/>
      <protection/>
    </xf>
    <xf numFmtId="0" fontId="11" fillId="0" borderId="0" xfId="52" applyFont="1" applyBorder="1">
      <alignment/>
      <protection/>
    </xf>
    <xf numFmtId="0" fontId="10" fillId="0" borderId="0" xfId="52" applyFont="1" applyBorder="1">
      <alignment/>
      <protection/>
    </xf>
    <xf numFmtId="3" fontId="14" fillId="0" borderId="19" xfId="0" applyNumberFormat="1" applyFont="1" applyBorder="1" applyAlignment="1">
      <alignment horizontal="right" vertical="top" wrapText="1"/>
    </xf>
    <xf numFmtId="0" fontId="25" fillId="0" borderId="10" xfId="52" applyFont="1" applyBorder="1">
      <alignment/>
      <protection/>
    </xf>
    <xf numFmtId="0" fontId="0" fillId="0" borderId="12" xfId="0" applyBorder="1" applyAlignment="1">
      <alignment vertical="center" wrapText="1"/>
    </xf>
    <xf numFmtId="0" fontId="0" fillId="0" borderId="13" xfId="0" applyBorder="1" applyAlignment="1">
      <alignment vertical="center" wrapText="1"/>
    </xf>
    <xf numFmtId="3" fontId="0" fillId="0" borderId="10" xfId="0" applyNumberFormat="1" applyFont="1" applyBorder="1" applyAlignment="1">
      <alignment horizontal="center" vertical="center"/>
    </xf>
    <xf numFmtId="0" fontId="1" fillId="0" borderId="10" xfId="0" applyFont="1" applyBorder="1" applyAlignment="1">
      <alignment vertical="center" wrapText="1"/>
    </xf>
    <xf numFmtId="0" fontId="0" fillId="0" borderId="10" xfId="0" applyFont="1" applyBorder="1" applyAlignment="1">
      <alignment horizontal="left" vertical="center" wrapText="1"/>
    </xf>
    <xf numFmtId="0" fontId="6" fillId="0" borderId="0" xfId="0" applyFont="1" applyAlignment="1">
      <alignment shrinkToFit="1"/>
    </xf>
    <xf numFmtId="1" fontId="26" fillId="0" borderId="0" xfId="0" applyNumberFormat="1" applyFont="1" applyBorder="1" applyAlignment="1">
      <alignment shrinkToFit="1"/>
    </xf>
    <xf numFmtId="1" fontId="6" fillId="0" borderId="0" xfId="0" applyNumberFormat="1" applyFont="1" applyAlignment="1">
      <alignment/>
    </xf>
    <xf numFmtId="3" fontId="27"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2" fillId="0" borderId="0" xfId="0" applyFont="1" applyBorder="1" applyAlignment="1">
      <alignment horizontal="center"/>
    </xf>
    <xf numFmtId="0" fontId="0" fillId="0" borderId="0" xfId="0" applyFont="1" applyBorder="1" applyAlignment="1">
      <alignment horizontal="center"/>
    </xf>
    <xf numFmtId="0" fontId="22"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5" fillId="0" borderId="0" xfId="0" applyNumberFormat="1" applyFont="1" applyAlignment="1">
      <alignment horizontal="left"/>
    </xf>
    <xf numFmtId="0" fontId="26" fillId="0" borderId="10" xfId="0" applyFont="1" applyBorder="1" applyAlignment="1">
      <alignment horizontal="center" shrinkToFit="1"/>
    </xf>
    <xf numFmtId="1" fontId="26" fillId="0" borderId="10" xfId="0" applyNumberFormat="1" applyFont="1" applyBorder="1" applyAlignment="1">
      <alignment horizontal="center"/>
    </xf>
    <xf numFmtId="1" fontId="22" fillId="0" borderId="10" xfId="0" applyNumberFormat="1" applyFont="1" applyBorder="1" applyAlignment="1">
      <alignment horizontal="left" wrapText="1"/>
    </xf>
    <xf numFmtId="3" fontId="28" fillId="0" borderId="10" xfId="0" applyNumberFormat="1" applyFont="1" applyBorder="1" applyAlignment="1">
      <alignment horizontal="right" shrinkToFit="1"/>
    </xf>
    <xf numFmtId="0" fontId="6" fillId="0" borderId="10" xfId="0" applyFont="1" applyBorder="1" applyAlignment="1">
      <alignment horizontal="center" shrinkToFit="1"/>
    </xf>
    <xf numFmtId="0" fontId="29" fillId="0" borderId="10" xfId="0" applyFont="1" applyBorder="1" applyAlignment="1">
      <alignment horizontal="center" shrinkToFit="1"/>
    </xf>
    <xf numFmtId="1" fontId="6" fillId="0" borderId="10" xfId="0" applyNumberFormat="1" applyFont="1" applyBorder="1" applyAlignment="1">
      <alignment horizontal="center"/>
    </xf>
    <xf numFmtId="1" fontId="4" fillId="0" borderId="10" xfId="0" applyNumberFormat="1" applyFont="1" applyBorder="1" applyAlignment="1">
      <alignment horizontal="left" wrapText="1"/>
    </xf>
    <xf numFmtId="3" fontId="2" fillId="0" borderId="10" xfId="0" applyNumberFormat="1" applyFont="1" applyBorder="1" applyAlignment="1">
      <alignment horizontal="right" shrinkToFit="1"/>
    </xf>
    <xf numFmtId="1" fontId="0" fillId="0" borderId="10" xfId="0" applyNumberFormat="1" applyFont="1" applyBorder="1" applyAlignment="1">
      <alignment horizontal="left" wrapText="1"/>
    </xf>
    <xf numFmtId="3" fontId="27" fillId="0" borderId="10" xfId="0" applyNumberFormat="1" applyFont="1" applyBorder="1" applyAlignment="1">
      <alignment horizontal="right" shrinkToFit="1"/>
    </xf>
    <xf numFmtId="0" fontId="26" fillId="0" borderId="10" xfId="0" applyFont="1" applyBorder="1" applyAlignment="1">
      <alignment shrinkToFit="1"/>
    </xf>
    <xf numFmtId="1" fontId="26" fillId="0" borderId="10" xfId="0" applyNumberFormat="1" applyFont="1" applyBorder="1" applyAlignment="1">
      <alignment/>
    </xf>
    <xf numFmtId="1" fontId="22" fillId="0" borderId="10" xfId="0" applyNumberFormat="1" applyFont="1" applyBorder="1" applyAlignment="1">
      <alignment wrapText="1"/>
    </xf>
    <xf numFmtId="3" fontId="28" fillId="0" borderId="10" xfId="0" applyNumberFormat="1" applyFont="1" applyBorder="1" applyAlignment="1">
      <alignment shrinkToFit="1"/>
    </xf>
    <xf numFmtId="0" fontId="29" fillId="0" borderId="10" xfId="0" applyFont="1" applyBorder="1" applyAlignment="1">
      <alignment shrinkToFit="1"/>
    </xf>
    <xf numFmtId="1" fontId="29"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0" borderId="10" xfId="0" applyFont="1" applyBorder="1" applyAlignment="1">
      <alignment shrinkToFit="1"/>
    </xf>
    <xf numFmtId="1" fontId="6" fillId="0" borderId="10" xfId="0" applyNumberFormat="1" applyFont="1" applyBorder="1" applyAlignment="1">
      <alignment/>
    </xf>
    <xf numFmtId="1" fontId="0" fillId="0" borderId="10" xfId="0" applyNumberFormat="1" applyFont="1" applyBorder="1" applyAlignment="1">
      <alignment wrapText="1"/>
    </xf>
    <xf numFmtId="3" fontId="27" fillId="0" borderId="10" xfId="0" applyNumberFormat="1" applyFont="1" applyBorder="1" applyAlignment="1">
      <alignment shrinkToFit="1"/>
    </xf>
    <xf numFmtId="0" fontId="29" fillId="0" borderId="10" xfId="0" applyFont="1" applyBorder="1" applyAlignment="1">
      <alignment shrinkToFit="1"/>
    </xf>
    <xf numFmtId="1" fontId="29"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34" borderId="20" xfId="0" applyFont="1" applyFill="1" applyBorder="1" applyAlignment="1">
      <alignment shrinkToFit="1"/>
    </xf>
    <xf numFmtId="0" fontId="6" fillId="34" borderId="21" xfId="0" applyFont="1" applyFill="1" applyBorder="1" applyAlignment="1">
      <alignment shrinkToFit="1"/>
    </xf>
    <xf numFmtId="1" fontId="6" fillId="34" borderId="21" xfId="0" applyNumberFormat="1" applyFont="1" applyFill="1" applyBorder="1" applyAlignment="1">
      <alignment/>
    </xf>
    <xf numFmtId="1" fontId="0" fillId="34" borderId="22" xfId="0" applyNumberFormat="1" applyFont="1" applyFill="1" applyBorder="1" applyAlignment="1">
      <alignment wrapText="1"/>
    </xf>
    <xf numFmtId="3" fontId="6" fillId="34" borderId="21" xfId="0" applyNumberFormat="1" applyFont="1" applyFill="1" applyBorder="1" applyAlignment="1">
      <alignment wrapText="1" shrinkToFit="1"/>
    </xf>
    <xf numFmtId="0" fontId="8" fillId="0" borderId="0" xfId="0" applyFont="1" applyAlignment="1">
      <alignment vertical="center"/>
    </xf>
    <xf numFmtId="3" fontId="10" fillId="35" borderId="14" xfId="52" applyNumberFormat="1" applyFont="1" applyFill="1" applyBorder="1">
      <alignment/>
      <protection/>
    </xf>
    <xf numFmtId="3" fontId="4" fillId="35" borderId="10" xfId="0" applyNumberFormat="1" applyFont="1" applyFill="1" applyBorder="1" applyAlignment="1">
      <alignment vertical="center"/>
    </xf>
    <xf numFmtId="0" fontId="0" fillId="0" borderId="23" xfId="0" applyBorder="1" applyAlignment="1">
      <alignment horizontal="center" vertical="center"/>
    </xf>
    <xf numFmtId="3" fontId="0" fillId="0" borderId="23" xfId="0" applyNumberFormat="1" applyBorder="1" applyAlignment="1">
      <alignment vertical="center"/>
    </xf>
    <xf numFmtId="0" fontId="0" fillId="0" borderId="24" xfId="0" applyBorder="1" applyAlignment="1">
      <alignment vertical="center"/>
    </xf>
    <xf numFmtId="0" fontId="0" fillId="0" borderId="24" xfId="0" applyBorder="1" applyAlignment="1">
      <alignment horizontal="left" vertical="center" indent="1"/>
    </xf>
    <xf numFmtId="3" fontId="0" fillId="0" borderId="24" xfId="0" applyNumberFormat="1" applyBorder="1" applyAlignment="1">
      <alignment vertical="center"/>
    </xf>
    <xf numFmtId="3" fontId="0" fillId="0" borderId="24" xfId="0" applyNumberFormat="1" applyBorder="1" applyAlignment="1">
      <alignment horizontal="center" vertical="center"/>
    </xf>
    <xf numFmtId="0" fontId="4" fillId="0" borderId="25" xfId="0" applyFont="1" applyBorder="1" applyAlignment="1">
      <alignment horizontal="center" vertical="center"/>
    </xf>
    <xf numFmtId="3" fontId="4" fillId="0" borderId="26" xfId="0" applyNumberFormat="1" applyFont="1" applyBorder="1" applyAlignment="1">
      <alignment vertical="center"/>
    </xf>
    <xf numFmtId="0" fontId="1" fillId="0" borderId="14" xfId="0" applyFont="1" applyBorder="1" applyAlignment="1">
      <alignment horizontal="center" vertical="center"/>
    </xf>
    <xf numFmtId="0" fontId="0" fillId="0" borderId="24" xfId="0" applyBorder="1" applyAlignment="1">
      <alignment horizontal="center" vertical="center"/>
    </xf>
    <xf numFmtId="0" fontId="4" fillId="0" borderId="26" xfId="0" applyFont="1" applyBorder="1" applyAlignment="1">
      <alignment vertical="center"/>
    </xf>
    <xf numFmtId="3" fontId="4" fillId="0" borderId="27" xfId="0" applyNumberFormat="1" applyFont="1" applyBorder="1" applyAlignment="1">
      <alignment horizontal="center" vertical="center"/>
    </xf>
    <xf numFmtId="1" fontId="8" fillId="0" borderId="0" xfId="0" applyNumberFormat="1" applyFont="1" applyAlignment="1">
      <alignment horizontal="left"/>
    </xf>
    <xf numFmtId="3" fontId="1" fillId="33" borderId="10" xfId="0" applyNumberFormat="1" applyFont="1" applyFill="1" applyBorder="1" applyAlignment="1">
      <alignment horizontal="center" vertical="center"/>
    </xf>
    <xf numFmtId="0" fontId="6" fillId="0" borderId="10" xfId="0" applyFont="1" applyBorder="1" applyAlignment="1">
      <alignment horizontal="center" vertical="center"/>
    </xf>
    <xf numFmtId="0" fontId="8" fillId="0" borderId="10" xfId="0" applyFont="1" applyBorder="1" applyAlignment="1">
      <alignment vertical="center" wrapText="1"/>
    </xf>
    <xf numFmtId="0" fontId="1" fillId="33" borderId="10" xfId="0" applyFont="1" applyFill="1" applyBorder="1" applyAlignment="1">
      <alignment horizontal="center" vertical="center"/>
    </xf>
    <xf numFmtId="0" fontId="3" fillId="0" borderId="0" xfId="0" applyFont="1" applyAlignment="1">
      <alignment horizontal="left" vertical="center"/>
    </xf>
    <xf numFmtId="0" fontId="21" fillId="0" borderId="0" xfId="0" applyFont="1" applyAlignment="1">
      <alignment horizontal="center" vertical="center" wrapText="1"/>
    </xf>
    <xf numFmtId="0" fontId="8" fillId="0" borderId="10" xfId="0" applyFont="1" applyBorder="1" applyAlignment="1">
      <alignment horizontal="center" vertical="center"/>
    </xf>
    <xf numFmtId="3" fontId="8" fillId="0" borderId="10" xfId="0" applyNumberFormat="1" applyFont="1" applyBorder="1" applyAlignment="1">
      <alignment horizontal="center" vertical="center"/>
    </xf>
    <xf numFmtId="0" fontId="8" fillId="0" borderId="0" xfId="0" applyFont="1" applyAlignment="1">
      <alignment vertical="center"/>
    </xf>
    <xf numFmtId="0" fontId="31" fillId="0" borderId="0" xfId="0" applyFont="1" applyAlignment="1">
      <alignment horizontal="center" vertical="center" wrapText="1"/>
    </xf>
    <xf numFmtId="0" fontId="1" fillId="0" borderId="10" xfId="0" applyFont="1" applyBorder="1" applyAlignment="1">
      <alignment vertical="center"/>
    </xf>
    <xf numFmtId="0" fontId="1" fillId="0" borderId="0" xfId="0" applyFont="1" applyAlignment="1">
      <alignment vertical="center"/>
    </xf>
    <xf numFmtId="0" fontId="27" fillId="0" borderId="10" xfId="0" applyFont="1" applyBorder="1" applyAlignment="1">
      <alignment horizontal="center" vertical="center"/>
    </xf>
    <xf numFmtId="0" fontId="27" fillId="33" borderId="10" xfId="0" applyFont="1" applyFill="1" applyBorder="1" applyAlignment="1">
      <alignment horizontal="center" vertical="center"/>
    </xf>
    <xf numFmtId="0" fontId="27" fillId="0" borderId="0" xfId="0" applyFont="1" applyAlignment="1">
      <alignment vertical="center"/>
    </xf>
    <xf numFmtId="3" fontId="27" fillId="0" borderId="10" xfId="0" applyNumberFormat="1" applyFont="1" applyBorder="1" applyAlignment="1">
      <alignment horizontal="center" vertical="center"/>
    </xf>
    <xf numFmtId="0" fontId="1" fillId="0" borderId="18" xfId="0" applyFont="1" applyBorder="1" applyAlignment="1">
      <alignment horizontal="center" vertical="center"/>
    </xf>
    <xf numFmtId="0" fontId="0" fillId="0" borderId="18" xfId="0" applyFont="1" applyBorder="1" applyAlignment="1">
      <alignment horizontal="center" vertical="center"/>
    </xf>
    <xf numFmtId="0" fontId="27" fillId="0" borderId="18" xfId="0" applyFont="1" applyBorder="1" applyAlignment="1">
      <alignment horizontal="center" vertical="center"/>
    </xf>
    <xf numFmtId="0" fontId="1" fillId="0" borderId="10" xfId="0" applyFont="1" applyBorder="1" applyAlignment="1">
      <alignment vertical="center"/>
    </xf>
    <xf numFmtId="3" fontId="27" fillId="33" borderId="10" xfId="0" applyNumberFormat="1" applyFont="1" applyFill="1" applyBorder="1" applyAlignment="1">
      <alignment horizontal="center" vertical="center"/>
    </xf>
    <xf numFmtId="0" fontId="32" fillId="0" borderId="10" xfId="52" applyFont="1" applyBorder="1" applyAlignment="1">
      <alignment wrapText="1"/>
      <protection/>
    </xf>
    <xf numFmtId="0" fontId="34" fillId="0" borderId="0" xfId="0" applyFont="1" applyAlignment="1">
      <alignment wrapText="1"/>
    </xf>
    <xf numFmtId="3" fontId="0" fillId="0" borderId="0" xfId="0" applyNumberFormat="1" applyAlignment="1">
      <alignment wrapText="1"/>
    </xf>
    <xf numFmtId="3" fontId="17" fillId="0" borderId="10" xfId="0" applyNumberFormat="1" applyFont="1" applyBorder="1" applyAlignment="1">
      <alignment horizontal="right" vertical="center" wrapText="1"/>
    </xf>
    <xf numFmtId="0" fontId="0" fillId="0" borderId="23" xfId="0" applyFill="1" applyBorder="1" applyAlignment="1">
      <alignment horizontal="center" vertical="center"/>
    </xf>
    <xf numFmtId="3" fontId="0" fillId="0" borderId="23" xfId="0" applyNumberFormat="1" applyFill="1" applyBorder="1" applyAlignment="1">
      <alignment vertical="center"/>
    </xf>
    <xf numFmtId="3" fontId="0" fillId="0" borderId="23" xfId="0" applyNumberFormat="1" applyFill="1" applyBorder="1" applyAlignment="1">
      <alignment horizontal="center" vertical="center"/>
    </xf>
    <xf numFmtId="0" fontId="0" fillId="0" borderId="0" xfId="0" applyFill="1" applyAlignment="1">
      <alignment/>
    </xf>
    <xf numFmtId="3" fontId="11" fillId="0" borderId="10" xfId="52" applyNumberFormat="1" applyFont="1" applyBorder="1" applyAlignment="1">
      <alignment/>
      <protection/>
    </xf>
    <xf numFmtId="1" fontId="0" fillId="0" borderId="10" xfId="0" applyNumberFormat="1" applyFont="1" applyBorder="1" applyAlignment="1">
      <alignment horizontal="right" vertical="center"/>
    </xf>
    <xf numFmtId="3" fontId="24" fillId="0" borderId="10" xfId="0" applyNumberFormat="1" applyFont="1" applyFill="1" applyBorder="1" applyAlignment="1">
      <alignment/>
    </xf>
    <xf numFmtId="1" fontId="37" fillId="0" borderId="10" xfId="0" applyNumberFormat="1" applyFont="1" applyBorder="1" applyAlignment="1">
      <alignment horizontal="center" vertical="center"/>
    </xf>
    <xf numFmtId="3" fontId="38" fillId="0" borderId="10" xfId="0" applyNumberFormat="1" applyFont="1" applyFill="1" applyBorder="1" applyAlignment="1">
      <alignment horizontal="right" vertical="center"/>
    </xf>
    <xf numFmtId="0" fontId="38" fillId="0" borderId="10" xfId="0" applyFont="1" applyBorder="1" applyAlignment="1">
      <alignment horizontal="center" vertical="center" shrinkToFit="1"/>
    </xf>
    <xf numFmtId="1" fontId="38" fillId="0" borderId="10" xfId="0" applyNumberFormat="1" applyFont="1" applyBorder="1" applyAlignment="1">
      <alignment horizontal="center" vertical="center"/>
    </xf>
    <xf numFmtId="3" fontId="24" fillId="0" borderId="10" xfId="0" applyNumberFormat="1" applyFont="1" applyFill="1" applyBorder="1" applyAlignment="1">
      <alignment horizontal="right" vertical="center"/>
    </xf>
    <xf numFmtId="1" fontId="38" fillId="0" borderId="10" xfId="0" applyNumberFormat="1" applyFont="1" applyBorder="1" applyAlignment="1">
      <alignment vertical="center" wrapText="1" shrinkToFit="1"/>
    </xf>
    <xf numFmtId="3" fontId="14" fillId="0" borderId="10" xfId="0" applyNumberFormat="1" applyFont="1" applyBorder="1" applyAlignment="1">
      <alignment/>
    </xf>
    <xf numFmtId="0" fontId="30" fillId="33" borderId="10" xfId="52" applyFont="1" applyFill="1" applyBorder="1" applyAlignment="1">
      <alignment horizontal="center" vertical="center" wrapText="1"/>
      <protection/>
    </xf>
    <xf numFmtId="3" fontId="23" fillId="0" borderId="10" xfId="0" applyNumberFormat="1" applyFont="1" applyBorder="1" applyAlignment="1">
      <alignment horizontal="right" vertical="top" wrapText="1"/>
    </xf>
    <xf numFmtId="0" fontId="0" fillId="0" borderId="10" xfId="0" applyFont="1" applyBorder="1" applyAlignment="1">
      <alignment vertical="center"/>
    </xf>
    <xf numFmtId="0" fontId="0" fillId="0" borderId="0" xfId="0" applyFont="1" applyAlignment="1">
      <alignment vertical="center"/>
    </xf>
    <xf numFmtId="3" fontId="0" fillId="33" borderId="10" xfId="0" applyNumberFormat="1" applyFont="1" applyFill="1" applyBorder="1" applyAlignment="1">
      <alignment vertical="center"/>
    </xf>
    <xf numFmtId="0" fontId="0" fillId="0" borderId="10" xfId="0" applyFont="1" applyBorder="1" applyAlignment="1">
      <alignment horizontal="center" vertical="center"/>
    </xf>
    <xf numFmtId="3" fontId="38" fillId="0" borderId="10" xfId="0" applyNumberFormat="1" applyFont="1" applyFill="1" applyBorder="1" applyAlignment="1">
      <alignment/>
    </xf>
    <xf numFmtId="0" fontId="11" fillId="0" borderId="12" xfId="52" applyFont="1" applyBorder="1" applyAlignment="1">
      <alignment horizontal="center" vertical="center"/>
      <protection/>
    </xf>
    <xf numFmtId="3" fontId="38" fillId="0" borderId="10" xfId="0" applyNumberFormat="1" applyFont="1" applyFill="1" applyBorder="1" applyAlignment="1">
      <alignment/>
    </xf>
    <xf numFmtId="0" fontId="6" fillId="0" borderId="10" xfId="0" applyFont="1" applyBorder="1" applyAlignment="1">
      <alignment horizontal="center"/>
    </xf>
    <xf numFmtId="1" fontId="5" fillId="0" borderId="10" xfId="0" applyNumberFormat="1" applyFont="1" applyBorder="1" applyAlignment="1">
      <alignment vertical="center" wrapText="1" shrinkToFit="1"/>
    </xf>
    <xf numFmtId="1" fontId="7" fillId="0" borderId="10" xfId="0" applyNumberFormat="1" applyFont="1" applyBorder="1" applyAlignment="1">
      <alignment vertical="center" wrapText="1" shrinkToFit="1"/>
    </xf>
    <xf numFmtId="1" fontId="6" fillId="0" borderId="10" xfId="0" applyNumberFormat="1" applyFont="1" applyBorder="1" applyAlignment="1">
      <alignment horizontal="center" vertical="center"/>
    </xf>
    <xf numFmtId="0" fontId="8" fillId="0" borderId="10" xfId="0" applyFont="1" applyBorder="1" applyAlignment="1">
      <alignment vertical="center"/>
    </xf>
    <xf numFmtId="0" fontId="11" fillId="0" borderId="15" xfId="52" applyFont="1" applyBorder="1" applyAlignment="1">
      <alignment horizontal="center" vertical="center"/>
      <protection/>
    </xf>
    <xf numFmtId="3" fontId="10" fillId="35" borderId="10" xfId="52" applyNumberFormat="1" applyFont="1" applyFill="1" applyBorder="1">
      <alignment/>
      <protection/>
    </xf>
    <xf numFmtId="3" fontId="25" fillId="35" borderId="10" xfId="52" applyNumberFormat="1" applyFont="1" applyFill="1" applyBorder="1">
      <alignment/>
      <protection/>
    </xf>
    <xf numFmtId="0" fontId="0" fillId="0" borderId="15" xfId="0" applyBorder="1" applyAlignment="1">
      <alignment horizontal="left" vertical="center" indent="1"/>
    </xf>
    <xf numFmtId="3" fontId="0" fillId="0" borderId="15" xfId="0" applyNumberFormat="1" applyBorder="1" applyAlignment="1">
      <alignment vertical="center"/>
    </xf>
    <xf numFmtId="3" fontId="0" fillId="0" borderId="15" xfId="0" applyNumberFormat="1" applyBorder="1" applyAlignment="1">
      <alignment horizontal="center" vertical="center"/>
    </xf>
    <xf numFmtId="3" fontId="0" fillId="0" borderId="11" xfId="0" applyNumberFormat="1" applyBorder="1" applyAlignment="1">
      <alignment horizontal="center" vertical="center"/>
    </xf>
    <xf numFmtId="0" fontId="12" fillId="0" borderId="10" xfId="52" applyFont="1" applyBorder="1" applyAlignment="1">
      <alignment horizontal="center" vertical="center" wrapText="1"/>
      <protection/>
    </xf>
    <xf numFmtId="0" fontId="10" fillId="35" borderId="11" xfId="52" applyFont="1" applyFill="1" applyBorder="1" applyAlignment="1">
      <alignment wrapText="1"/>
      <protection/>
    </xf>
    <xf numFmtId="0" fontId="11" fillId="0" borderId="12" xfId="52" applyFont="1" applyBorder="1" applyAlignment="1">
      <alignment wrapText="1"/>
      <protection/>
    </xf>
    <xf numFmtId="0" fontId="11" fillId="0" borderId="23" xfId="52" applyFont="1" applyBorder="1" applyAlignment="1">
      <alignment wrapText="1"/>
      <protection/>
    </xf>
    <xf numFmtId="0" fontId="11" fillId="0" borderId="24" xfId="52" applyFont="1" applyBorder="1" applyAlignment="1">
      <alignment wrapText="1"/>
      <protection/>
    </xf>
    <xf numFmtId="0" fontId="10" fillId="0" borderId="10" xfId="52" applyFont="1" applyBorder="1" applyAlignment="1">
      <alignment wrapText="1"/>
      <protection/>
    </xf>
    <xf numFmtId="0" fontId="11" fillId="0" borderId="0" xfId="52" applyFont="1" applyAlignment="1">
      <alignment wrapText="1"/>
      <protection/>
    </xf>
    <xf numFmtId="0" fontId="0" fillId="0" borderId="10" xfId="0" applyFont="1" applyBorder="1" applyAlignment="1">
      <alignment horizontal="left" wrapText="1"/>
    </xf>
    <xf numFmtId="3" fontId="8" fillId="0" borderId="10" xfId="0" applyNumberFormat="1" applyFont="1" applyBorder="1" applyAlignment="1">
      <alignment horizontal="left" wrapText="1"/>
    </xf>
    <xf numFmtId="0" fontId="7" fillId="0" borderId="0" xfId="0" applyFont="1" applyAlignment="1">
      <alignment/>
    </xf>
    <xf numFmtId="0" fontId="5" fillId="0" borderId="0" xfId="0" applyFont="1" applyAlignment="1">
      <alignment horizontal="center"/>
    </xf>
    <xf numFmtId="3" fontId="7" fillId="0" borderId="0" xfId="0" applyNumberFormat="1" applyFont="1" applyAlignment="1">
      <alignment/>
    </xf>
    <xf numFmtId="3" fontId="7" fillId="0" borderId="0" xfId="0" applyNumberFormat="1" applyFont="1" applyAlignment="1">
      <alignment horizont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0" borderId="16" xfId="0" applyFont="1" applyFill="1" applyBorder="1" applyAlignment="1">
      <alignment horizontal="center" vertical="center"/>
    </xf>
    <xf numFmtId="3" fontId="5" fillId="33" borderId="16" xfId="0" applyNumberFormat="1" applyFont="1" applyFill="1" applyBorder="1" applyAlignment="1">
      <alignment horizontal="center" vertical="center" wrapText="1"/>
    </xf>
    <xf numFmtId="0" fontId="7" fillId="0" borderId="10" xfId="0" applyFont="1" applyBorder="1" applyAlignment="1">
      <alignment horizontal="center" vertical="center"/>
    </xf>
    <xf numFmtId="3" fontId="7" fillId="0" borderId="10" xfId="0" applyNumberFormat="1" applyFont="1" applyBorder="1" applyAlignment="1">
      <alignment horizontal="center" vertical="center"/>
    </xf>
    <xf numFmtId="0" fontId="7" fillId="0" borderId="0" xfId="0" applyFont="1" applyAlignment="1">
      <alignment horizontal="center" vertical="center"/>
    </xf>
    <xf numFmtId="0" fontId="5" fillId="0" borderId="10" xfId="0" applyFont="1" applyFill="1" applyBorder="1" applyAlignment="1">
      <alignment/>
    </xf>
    <xf numFmtId="0" fontId="5" fillId="0" borderId="10" xfId="0" applyFont="1" applyFill="1" applyBorder="1" applyAlignment="1">
      <alignment wrapText="1"/>
    </xf>
    <xf numFmtId="3" fontId="7" fillId="0" borderId="10" xfId="0" applyNumberFormat="1" applyFont="1" applyBorder="1" applyAlignment="1">
      <alignment vertical="center"/>
    </xf>
    <xf numFmtId="0" fontId="39" fillId="0" borderId="10" xfId="0" applyFont="1" applyBorder="1" applyAlignment="1">
      <alignment/>
    </xf>
    <xf numFmtId="0" fontId="39" fillId="0" borderId="10" xfId="0" applyFont="1" applyBorder="1" applyAlignment="1">
      <alignment wrapText="1"/>
    </xf>
    <xf numFmtId="3" fontId="39" fillId="0" borderId="10" xfId="0" applyNumberFormat="1" applyFont="1" applyBorder="1" applyAlignment="1">
      <alignment vertical="center"/>
    </xf>
    <xf numFmtId="0" fontId="39" fillId="0" borderId="0" xfId="0" applyFont="1" applyAlignment="1">
      <alignment/>
    </xf>
    <xf numFmtId="0" fontId="5" fillId="0" borderId="10" xfId="0" applyFont="1" applyBorder="1" applyAlignment="1">
      <alignment/>
    </xf>
    <xf numFmtId="0" fontId="5" fillId="0" borderId="10" xfId="0" applyFont="1" applyBorder="1" applyAlignment="1">
      <alignment wrapText="1"/>
    </xf>
    <xf numFmtId="3" fontId="5" fillId="0" borderId="10" xfId="0" applyNumberFormat="1" applyFont="1" applyBorder="1" applyAlignment="1">
      <alignment vertical="center"/>
    </xf>
    <xf numFmtId="0" fontId="5" fillId="0" borderId="0" xfId="0" applyFont="1" applyAlignment="1">
      <alignment/>
    </xf>
    <xf numFmtId="0" fontId="7" fillId="0" borderId="10" xfId="0" applyFont="1" applyBorder="1" applyAlignment="1">
      <alignment/>
    </xf>
    <xf numFmtId="0" fontId="7" fillId="0" borderId="10" xfId="0" applyFont="1" applyBorder="1" applyAlignment="1">
      <alignment wrapText="1"/>
    </xf>
    <xf numFmtId="3" fontId="7" fillId="0" borderId="10" xfId="0" applyNumberFormat="1" applyFont="1" applyBorder="1" applyAlignment="1">
      <alignment vertical="center"/>
    </xf>
    <xf numFmtId="0" fontId="5" fillId="0" borderId="0" xfId="0" applyFont="1" applyAlignment="1">
      <alignment/>
    </xf>
    <xf numFmtId="0" fontId="7" fillId="0" borderId="10" xfId="0" applyFont="1" applyBorder="1" applyAlignment="1">
      <alignment horizontal="right"/>
    </xf>
    <xf numFmtId="0" fontId="39" fillId="0" borderId="10" xfId="0" applyFont="1" applyBorder="1" applyAlignment="1">
      <alignment horizontal="center" vertical="center" shrinkToFit="1"/>
    </xf>
    <xf numFmtId="1" fontId="39" fillId="0" borderId="10" xfId="0" applyNumberFormat="1" applyFont="1" applyBorder="1" applyAlignment="1">
      <alignment horizontal="center" vertical="center"/>
    </xf>
    <xf numFmtId="1" fontId="39" fillId="0" borderId="10" xfId="0" applyNumberFormat="1" applyFont="1" applyBorder="1" applyAlignment="1">
      <alignment vertical="center" wrapText="1" shrinkToFit="1"/>
    </xf>
    <xf numFmtId="3" fontId="39" fillId="0" borderId="10" xfId="0" applyNumberFormat="1" applyFont="1" applyBorder="1" applyAlignment="1">
      <alignment vertical="center"/>
    </xf>
    <xf numFmtId="0" fontId="5" fillId="0" borderId="10" xfId="0" applyFont="1" applyBorder="1" applyAlignment="1">
      <alignment horizontal="center" vertical="center" shrinkToFit="1"/>
    </xf>
    <xf numFmtId="1" fontId="5" fillId="0" borderId="10" xfId="0" applyNumberFormat="1" applyFont="1" applyBorder="1" applyAlignment="1">
      <alignment horizontal="center" vertical="center"/>
    </xf>
    <xf numFmtId="3" fontId="5" fillId="0" borderId="10" xfId="0" applyNumberFormat="1" applyFont="1" applyBorder="1" applyAlignment="1">
      <alignment vertical="center"/>
    </xf>
    <xf numFmtId="0" fontId="7" fillId="0" borderId="10" xfId="0" applyFont="1" applyBorder="1" applyAlignment="1">
      <alignment horizontal="center" vertical="center" shrinkToFit="1"/>
    </xf>
    <xf numFmtId="1" fontId="7" fillId="0" borderId="10" xfId="0" applyNumberFormat="1" applyFont="1" applyBorder="1" applyAlignment="1">
      <alignment horizontal="center" vertical="center"/>
    </xf>
    <xf numFmtId="0" fontId="40" fillId="0" borderId="10" xfId="0" applyFont="1" applyBorder="1" applyAlignment="1">
      <alignment wrapText="1"/>
    </xf>
    <xf numFmtId="0" fontId="40" fillId="0" borderId="0" xfId="0" applyFont="1" applyAlignment="1">
      <alignment wrapText="1"/>
    </xf>
    <xf numFmtId="3" fontId="7" fillId="0" borderId="10" xfId="0" applyNumberFormat="1" applyFont="1" applyFill="1" applyBorder="1" applyAlignment="1">
      <alignment vertical="center" shrinkToFit="1"/>
    </xf>
    <xf numFmtId="3" fontId="39" fillId="0" borderId="0" xfId="0" applyNumberFormat="1" applyFont="1" applyFill="1" applyBorder="1" applyAlignment="1">
      <alignment/>
    </xf>
    <xf numFmtId="3" fontId="7" fillId="0" borderId="10" xfId="0" applyNumberFormat="1" applyFont="1" applyBorder="1" applyAlignment="1">
      <alignment/>
    </xf>
    <xf numFmtId="3" fontId="39" fillId="0" borderId="10" xfId="0" applyNumberFormat="1" applyFont="1" applyBorder="1" applyAlignment="1">
      <alignment/>
    </xf>
    <xf numFmtId="3" fontId="5" fillId="0" borderId="10" xfId="0" applyNumberFormat="1" applyFont="1" applyBorder="1" applyAlignment="1">
      <alignment/>
    </xf>
    <xf numFmtId="3" fontId="5" fillId="0" borderId="10" xfId="0" applyNumberFormat="1" applyFont="1" applyBorder="1" applyAlignment="1">
      <alignment/>
    </xf>
    <xf numFmtId="0" fontId="7" fillId="0" borderId="14" xfId="0" applyFont="1" applyBorder="1" applyAlignment="1">
      <alignment/>
    </xf>
    <xf numFmtId="0" fontId="7" fillId="0" borderId="14" xfId="0" applyFont="1" applyBorder="1" applyAlignment="1">
      <alignment wrapText="1"/>
    </xf>
    <xf numFmtId="3" fontId="7" fillId="0" borderId="14" xfId="0" applyNumberFormat="1" applyFont="1" applyBorder="1" applyAlignment="1">
      <alignment/>
    </xf>
    <xf numFmtId="0" fontId="39" fillId="0" borderId="0" xfId="0" applyFont="1" applyBorder="1" applyAlignment="1">
      <alignment/>
    </xf>
    <xf numFmtId="0" fontId="7" fillId="0" borderId="10" xfId="0" applyFont="1" applyBorder="1" applyAlignment="1">
      <alignment horizontal="center" vertical="center" wrapText="1"/>
    </xf>
    <xf numFmtId="0" fontId="7" fillId="0" borderId="10" xfId="0" applyFont="1" applyBorder="1" applyAlignment="1">
      <alignment/>
    </xf>
    <xf numFmtId="0" fontId="7" fillId="0" borderId="10" xfId="0" applyFont="1" applyBorder="1" applyAlignment="1">
      <alignment wrapText="1"/>
    </xf>
    <xf numFmtId="49" fontId="7" fillId="0" borderId="10" xfId="0" applyNumberFormat="1" applyFont="1" applyBorder="1" applyAlignment="1">
      <alignment/>
    </xf>
    <xf numFmtId="49" fontId="7" fillId="0" borderId="10" xfId="0" applyNumberFormat="1" applyFont="1" applyBorder="1" applyAlignment="1">
      <alignment horizontal="right"/>
    </xf>
    <xf numFmtId="0" fontId="5" fillId="0" borderId="10" xfId="0" applyFont="1" applyBorder="1" applyAlignment="1">
      <alignment horizontal="right"/>
    </xf>
    <xf numFmtId="0" fontId="5" fillId="0" borderId="10" xfId="0" applyFont="1" applyBorder="1" applyAlignment="1">
      <alignment/>
    </xf>
    <xf numFmtId="0" fontId="5" fillId="0" borderId="10" xfId="0" applyFont="1" applyBorder="1" applyAlignment="1">
      <alignment wrapText="1"/>
    </xf>
    <xf numFmtId="0" fontId="7" fillId="0" borderId="0" xfId="0" applyFont="1" applyAlignment="1">
      <alignment/>
    </xf>
    <xf numFmtId="0" fontId="7" fillId="0" borderId="0" xfId="0" applyFont="1" applyAlignment="1">
      <alignment wrapText="1"/>
    </xf>
    <xf numFmtId="1" fontId="5" fillId="0" borderId="10" xfId="0" applyNumberFormat="1" applyFont="1" applyBorder="1" applyAlignment="1">
      <alignment vertical="center" wrapText="1" shrinkToFit="1"/>
    </xf>
    <xf numFmtId="0" fontId="39" fillId="0" borderId="10" xfId="0" applyFont="1" applyBorder="1" applyAlignment="1">
      <alignment horizontal="right"/>
    </xf>
    <xf numFmtId="0" fontId="7" fillId="0" borderId="10" xfId="0" applyFont="1" applyFill="1" applyBorder="1" applyAlignment="1">
      <alignment/>
    </xf>
    <xf numFmtId="0" fontId="7" fillId="0" borderId="10" xfId="0" applyFont="1" applyFill="1" applyBorder="1" applyAlignment="1">
      <alignment wrapText="1"/>
    </xf>
    <xf numFmtId="0" fontId="7" fillId="0" borderId="10" xfId="0" applyFont="1" applyFill="1" applyBorder="1" applyAlignment="1">
      <alignment horizontal="right"/>
    </xf>
    <xf numFmtId="0" fontId="7" fillId="0" borderId="10" xfId="0" applyFont="1" applyFill="1" applyBorder="1" applyAlignment="1">
      <alignment/>
    </xf>
    <xf numFmtId="0" fontId="37" fillId="0" borderId="10" xfId="0" applyFont="1" applyBorder="1" applyAlignment="1">
      <alignment horizontal="right" vertical="center" shrinkToFit="1"/>
    </xf>
    <xf numFmtId="1" fontId="37" fillId="0" borderId="10" xfId="0" applyNumberFormat="1" applyFont="1" applyBorder="1" applyAlignment="1">
      <alignment vertical="center" wrapText="1" shrinkToFit="1"/>
    </xf>
    <xf numFmtId="0" fontId="8" fillId="36" borderId="10" xfId="0" applyFont="1" applyFill="1" applyBorder="1" applyAlignment="1">
      <alignment/>
    </xf>
    <xf numFmtId="0" fontId="27" fillId="36" borderId="10" xfId="0" applyFont="1" applyFill="1" applyBorder="1" applyAlignment="1">
      <alignment wrapText="1"/>
    </xf>
    <xf numFmtId="0" fontId="40" fillId="0" borderId="0" xfId="0" applyFont="1" applyBorder="1" applyAlignment="1">
      <alignment wrapText="1"/>
    </xf>
    <xf numFmtId="3" fontId="36" fillId="36" borderId="10" xfId="0" applyNumberFormat="1" applyFont="1" applyFill="1" applyBorder="1" applyAlignment="1">
      <alignment/>
    </xf>
    <xf numFmtId="0" fontId="17" fillId="0" borderId="10" xfId="0" applyFont="1" applyBorder="1" applyAlignment="1">
      <alignment horizontal="left" wrapText="1"/>
    </xf>
    <xf numFmtId="3" fontId="33" fillId="0" borderId="10" xfId="0" applyNumberFormat="1" applyFont="1" applyFill="1" applyBorder="1" applyAlignment="1">
      <alignment/>
    </xf>
    <xf numFmtId="3" fontId="0" fillId="0" borderId="0" xfId="0" applyNumberFormat="1" applyFont="1" applyAlignment="1">
      <alignment vertical="center"/>
    </xf>
    <xf numFmtId="3" fontId="0" fillId="0" borderId="10" xfId="0" applyNumberFormat="1" applyFont="1" applyBorder="1" applyAlignment="1">
      <alignment vertical="center" wrapText="1"/>
    </xf>
    <xf numFmtId="3" fontId="0" fillId="0" borderId="10" xfId="0" applyNumberFormat="1" applyFont="1" applyBorder="1" applyAlignment="1">
      <alignment vertical="center"/>
    </xf>
    <xf numFmtId="0" fontId="4" fillId="0" borderId="28" xfId="0" applyFont="1" applyBorder="1" applyAlignment="1">
      <alignment vertical="center" wrapText="1"/>
    </xf>
    <xf numFmtId="3" fontId="4" fillId="0" borderId="29" xfId="0" applyNumberFormat="1" applyFont="1" applyBorder="1" applyAlignment="1">
      <alignment vertical="center"/>
    </xf>
    <xf numFmtId="3" fontId="4" fillId="0" borderId="25" xfId="0" applyNumberFormat="1" applyFont="1" applyBorder="1" applyAlignment="1">
      <alignment vertical="center"/>
    </xf>
    <xf numFmtId="3" fontId="4" fillId="0" borderId="26" xfId="0" applyNumberFormat="1" applyFont="1" applyBorder="1" applyAlignment="1">
      <alignment horizontal="center" vertical="center"/>
    </xf>
    <xf numFmtId="3" fontId="4" fillId="0" borderId="27" xfId="0" applyNumberFormat="1" applyFont="1" applyBorder="1" applyAlignment="1">
      <alignment vertical="center"/>
    </xf>
    <xf numFmtId="3" fontId="0" fillId="0" borderId="10" xfId="0" applyNumberFormat="1" applyFill="1" applyBorder="1" applyAlignment="1">
      <alignment vertical="center"/>
    </xf>
    <xf numFmtId="3" fontId="0" fillId="0" borderId="10" xfId="0" applyNumberFormat="1" applyFont="1" applyFill="1" applyBorder="1" applyAlignment="1">
      <alignment vertical="center"/>
    </xf>
    <xf numFmtId="0" fontId="8" fillId="0" borderId="10" xfId="0" applyFont="1" applyBorder="1" applyAlignment="1">
      <alignment vertical="center"/>
    </xf>
    <xf numFmtId="0" fontId="11" fillId="0" borderId="10" xfId="0" applyFont="1" applyBorder="1" applyAlignment="1">
      <alignment wrapText="1"/>
    </xf>
    <xf numFmtId="0" fontId="0" fillId="0" borderId="10" xfId="0" applyFont="1" applyBorder="1" applyAlignment="1">
      <alignment vertical="center" wrapText="1"/>
    </xf>
    <xf numFmtId="0" fontId="0" fillId="0" borderId="18" xfId="0" applyFont="1" applyBorder="1" applyAlignment="1">
      <alignment horizontal="center" vertical="center"/>
    </xf>
    <xf numFmtId="0" fontId="0" fillId="0" borderId="18" xfId="0" applyFont="1" applyBorder="1" applyAlignment="1">
      <alignment vertical="center"/>
    </xf>
    <xf numFmtId="0" fontId="1" fillId="0" borderId="10" xfId="0" applyFont="1" applyBorder="1" applyAlignment="1">
      <alignment vertical="center" wrapText="1"/>
    </xf>
    <xf numFmtId="0" fontId="35" fillId="0" borderId="0" xfId="0" applyFont="1" applyAlignment="1">
      <alignment wrapText="1"/>
    </xf>
    <xf numFmtId="168" fontId="8" fillId="0" borderId="10" xfId="0" applyNumberFormat="1" applyFont="1" applyBorder="1" applyAlignment="1">
      <alignment wrapText="1"/>
    </xf>
    <xf numFmtId="0" fontId="23" fillId="0" borderId="10" xfId="0" applyFont="1" applyBorder="1" applyAlignment="1">
      <alignment horizontal="center" wrapText="1"/>
    </xf>
    <xf numFmtId="0" fontId="11" fillId="0" borderId="10" xfId="0" applyFont="1" applyBorder="1" applyAlignment="1">
      <alignment horizontal="left" vertical="center" wrapText="1"/>
    </xf>
    <xf numFmtId="0" fontId="8" fillId="0" borderId="18" xfId="0" applyFont="1" applyBorder="1" applyAlignment="1">
      <alignment vertical="center" wrapText="1"/>
    </xf>
    <xf numFmtId="171" fontId="14" fillId="0" borderId="10" xfId="0" applyNumberFormat="1" applyFont="1" applyBorder="1" applyAlignment="1">
      <alignment horizontal="left" vertical="center" wrapText="1"/>
    </xf>
    <xf numFmtId="0" fontId="0" fillId="0" borderId="30" xfId="0" applyFont="1" applyBorder="1" applyAlignment="1">
      <alignment vertical="center"/>
    </xf>
    <xf numFmtId="0" fontId="0" fillId="0" borderId="14" xfId="0" applyFont="1" applyBorder="1" applyAlignment="1">
      <alignment vertical="center"/>
    </xf>
    <xf numFmtId="0" fontId="14" fillId="0" borderId="10" xfId="0" applyFont="1" applyBorder="1" applyAlignment="1">
      <alignment horizontal="left" vertical="center" wrapText="1"/>
    </xf>
    <xf numFmtId="3" fontId="8" fillId="0" borderId="10" xfId="0" applyNumberFormat="1" applyFont="1" applyBorder="1" applyAlignment="1">
      <alignment vertical="center"/>
    </xf>
    <xf numFmtId="0" fontId="8" fillId="0" borderId="10" xfId="0" applyFont="1" applyBorder="1" applyAlignment="1">
      <alignment horizontal="center" vertical="center" wrapText="1"/>
    </xf>
    <xf numFmtId="0" fontId="0" fillId="0" borderId="18" xfId="0" applyFont="1" applyBorder="1" applyAlignment="1">
      <alignment vertical="center" wrapText="1"/>
    </xf>
    <xf numFmtId="3" fontId="0" fillId="0" borderId="10" xfId="0" applyNumberFormat="1" applyFont="1" applyBorder="1" applyAlignment="1">
      <alignment horizontal="center" vertical="center"/>
    </xf>
    <xf numFmtId="3" fontId="8" fillId="0" borderId="10" xfId="0" applyNumberFormat="1" applyFont="1" applyBorder="1" applyAlignment="1">
      <alignment vertical="center"/>
    </xf>
    <xf numFmtId="0" fontId="11" fillId="0" borderId="12" xfId="52" applyFont="1" applyFill="1" applyBorder="1" applyAlignment="1">
      <alignment horizontal="center" vertical="center"/>
      <protection/>
    </xf>
    <xf numFmtId="0" fontId="11" fillId="0" borderId="10" xfId="52" applyFont="1" applyFill="1" applyBorder="1" applyAlignment="1">
      <alignment wrapText="1"/>
      <protection/>
    </xf>
    <xf numFmtId="0" fontId="11" fillId="0" borderId="10" xfId="52" applyFont="1" applyFill="1" applyBorder="1" applyAlignment="1">
      <alignment/>
      <protection/>
    </xf>
    <xf numFmtId="3" fontId="14" fillId="0" borderId="10" xfId="0" applyNumberFormat="1" applyFont="1" applyFill="1" applyBorder="1" applyAlignment="1">
      <alignment horizontal="right" vertical="top" wrapText="1"/>
    </xf>
    <xf numFmtId="3" fontId="11" fillId="0" borderId="10" xfId="52" applyNumberFormat="1" applyFont="1" applyFill="1" applyBorder="1">
      <alignment/>
      <protection/>
    </xf>
    <xf numFmtId="0" fontId="11" fillId="0" borderId="10" xfId="52" applyFont="1" applyFill="1" applyBorder="1">
      <alignment/>
      <protection/>
    </xf>
    <xf numFmtId="0" fontId="11" fillId="0" borderId="0" xfId="52" applyFont="1" applyFill="1">
      <alignment/>
      <protection/>
    </xf>
    <xf numFmtId="3" fontId="11" fillId="0" borderId="10" xfId="52" applyNumberFormat="1" applyFont="1" applyFill="1" applyBorder="1" applyAlignment="1">
      <alignment/>
      <protection/>
    </xf>
    <xf numFmtId="3" fontId="11" fillId="0" borderId="0" xfId="52" applyNumberFormat="1" applyFont="1" applyBorder="1">
      <alignment/>
      <protection/>
    </xf>
    <xf numFmtId="1" fontId="11" fillId="0" borderId="10" xfId="0" applyNumberFormat="1" applyFont="1" applyBorder="1" applyAlignment="1">
      <alignment vertical="center" wrapText="1" shrinkToFit="1"/>
    </xf>
    <xf numFmtId="0" fontId="35" fillId="0" borderId="10" xfId="0" applyFont="1" applyBorder="1" applyAlignment="1">
      <alignment wrapText="1"/>
    </xf>
    <xf numFmtId="3" fontId="14" fillId="0" borderId="0" xfId="0" applyNumberFormat="1" applyFont="1" applyAlignment="1">
      <alignment/>
    </xf>
    <xf numFmtId="0" fontId="11" fillId="0" borderId="0" xfId="52" applyFont="1" applyAlignment="1">
      <alignment/>
      <protection/>
    </xf>
    <xf numFmtId="1" fontId="11" fillId="0" borderId="10" xfId="0" applyNumberFormat="1" applyFont="1" applyFill="1" applyBorder="1" applyAlignment="1">
      <alignment vertical="center" wrapText="1" shrinkToFit="1"/>
    </xf>
    <xf numFmtId="1" fontId="8" fillId="0" borderId="10" xfId="0" applyNumberFormat="1" applyFont="1" applyFill="1" applyBorder="1" applyAlignment="1">
      <alignment vertical="center" wrapText="1" shrinkToFit="1"/>
    </xf>
    <xf numFmtId="0" fontId="11" fillId="0" borderId="23" xfId="52" applyFont="1" applyFill="1" applyBorder="1" applyAlignment="1">
      <alignment horizontal="center" vertical="center"/>
      <protection/>
    </xf>
    <xf numFmtId="0" fontId="11" fillId="0" borderId="0" xfId="52" applyFont="1" applyBorder="1" applyAlignment="1">
      <alignment horizontal="center" vertical="center"/>
      <protection/>
    </xf>
    <xf numFmtId="0" fontId="11" fillId="0" borderId="0" xfId="52" applyFont="1" applyBorder="1" applyAlignment="1">
      <alignment wrapText="1"/>
      <protection/>
    </xf>
    <xf numFmtId="0" fontId="11" fillId="0" borderId="0" xfId="52" applyFont="1" applyBorder="1" applyAlignment="1">
      <alignment/>
      <protection/>
    </xf>
    <xf numFmtId="0" fontId="8" fillId="0" borderId="10" xfId="0" applyFont="1" applyBorder="1" applyAlignment="1">
      <alignment horizontal="right"/>
    </xf>
    <xf numFmtId="0" fontId="20" fillId="0" borderId="10" xfId="0" applyFont="1" applyBorder="1" applyAlignment="1">
      <alignment vertical="center"/>
    </xf>
    <xf numFmtId="0" fontId="29" fillId="0" borderId="0" xfId="0" applyFont="1" applyAlignment="1">
      <alignment horizontal="center"/>
    </xf>
    <xf numFmtId="0" fontId="6" fillId="0" borderId="0" xfId="0" applyFont="1" applyAlignment="1">
      <alignment/>
    </xf>
    <xf numFmtId="0" fontId="29" fillId="33" borderId="15" xfId="0" applyFont="1" applyFill="1" applyBorder="1" applyAlignment="1">
      <alignment horizontal="center" vertical="center"/>
    </xf>
    <xf numFmtId="0" fontId="6" fillId="0" borderId="10" xfId="0" applyFont="1" applyBorder="1" applyAlignment="1">
      <alignment horizontal="center" vertical="center"/>
    </xf>
    <xf numFmtId="0" fontId="29" fillId="0" borderId="10" xfId="0" applyFont="1" applyFill="1" applyBorder="1" applyAlignment="1">
      <alignment wrapText="1"/>
    </xf>
    <xf numFmtId="0" fontId="26" fillId="0" borderId="10" xfId="0" applyFont="1" applyBorder="1" applyAlignment="1">
      <alignment wrapText="1"/>
    </xf>
    <xf numFmtId="0" fontId="29" fillId="0" borderId="10" xfId="0" applyFont="1" applyBorder="1" applyAlignment="1">
      <alignment wrapText="1"/>
    </xf>
    <xf numFmtId="0" fontId="6" fillId="0" borderId="10" xfId="0" applyFont="1" applyBorder="1" applyAlignment="1">
      <alignment wrapText="1"/>
    </xf>
    <xf numFmtId="0" fontId="29" fillId="0" borderId="10" xfId="0" applyFont="1" applyBorder="1" applyAlignment="1">
      <alignment wrapText="1"/>
    </xf>
    <xf numFmtId="0" fontId="26" fillId="0" borderId="10" xfId="0" applyFont="1" applyBorder="1" applyAlignment="1">
      <alignment horizontal="center" vertical="center" shrinkToFit="1"/>
    </xf>
    <xf numFmtId="0" fontId="29" fillId="0" borderId="10"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4" xfId="0" applyFont="1" applyBorder="1" applyAlignment="1">
      <alignment wrapText="1"/>
    </xf>
    <xf numFmtId="0" fontId="6" fillId="0" borderId="10" xfId="0" applyFont="1" applyBorder="1" applyAlignment="1">
      <alignment wrapText="1"/>
    </xf>
    <xf numFmtId="0" fontId="41" fillId="0" borderId="10" xfId="0" applyFont="1" applyBorder="1" applyAlignment="1">
      <alignment horizontal="center" vertical="center" shrinkToFit="1"/>
    </xf>
    <xf numFmtId="0" fontId="42" fillId="0" borderId="10" xfId="0" applyFont="1" applyBorder="1" applyAlignment="1">
      <alignment horizontal="right" vertical="center" shrinkToFit="1"/>
    </xf>
    <xf numFmtId="1" fontId="8" fillId="0" borderId="10" xfId="0" applyNumberFormat="1" applyFont="1" applyBorder="1" applyAlignment="1">
      <alignment horizontal="center" vertical="center"/>
    </xf>
    <xf numFmtId="0" fontId="8" fillId="0" borderId="10" xfId="0" applyFont="1" applyBorder="1" applyAlignment="1">
      <alignment wrapText="1"/>
    </xf>
    <xf numFmtId="0" fontId="8" fillId="0" borderId="10" xfId="0" applyFont="1" applyBorder="1" applyAlignment="1">
      <alignment/>
    </xf>
    <xf numFmtId="1" fontId="0" fillId="0" borderId="10" xfId="0" applyNumberFormat="1" applyBorder="1" applyAlignment="1">
      <alignment vertical="center" wrapText="1" shrinkToFit="1"/>
    </xf>
    <xf numFmtId="0" fontId="0" fillId="0" borderId="10" xfId="0" applyFont="1" applyBorder="1" applyAlignment="1">
      <alignment horizontal="right"/>
    </xf>
    <xf numFmtId="0" fontId="35" fillId="0" borderId="10" xfId="0" applyFont="1" applyBorder="1" applyAlignment="1">
      <alignment horizontal="right"/>
    </xf>
    <xf numFmtId="0" fontId="24" fillId="0" borderId="10" xfId="0" applyFont="1" applyBorder="1" applyAlignment="1">
      <alignment wrapText="1"/>
    </xf>
    <xf numFmtId="0" fontId="43" fillId="0" borderId="10" xfId="0" applyFont="1" applyBorder="1" applyAlignment="1">
      <alignment horizontal="center" vertical="center" shrinkToFit="1"/>
    </xf>
    <xf numFmtId="1" fontId="43" fillId="0" borderId="10" xfId="0" applyNumberFormat="1" applyFont="1" applyBorder="1" applyAlignment="1">
      <alignment horizontal="center" vertical="center"/>
    </xf>
    <xf numFmtId="0" fontId="44" fillId="0" borderId="10" xfId="0" applyFont="1" applyBorder="1" applyAlignment="1">
      <alignment horizontal="center" vertical="center" shrinkToFit="1"/>
    </xf>
    <xf numFmtId="1" fontId="44" fillId="0" borderId="10" xfId="0" applyNumberFormat="1" applyFont="1" applyBorder="1" applyAlignment="1">
      <alignment horizontal="center" vertical="center"/>
    </xf>
    <xf numFmtId="0" fontId="0" fillId="0" borderId="17" xfId="0" applyFont="1" applyBorder="1" applyAlignment="1">
      <alignment vertical="center"/>
    </xf>
    <xf numFmtId="0" fontId="29" fillId="0" borderId="0" xfId="0" applyFont="1" applyAlignment="1">
      <alignment horizontal="center" vertical="center" wrapText="1"/>
    </xf>
    <xf numFmtId="3" fontId="6" fillId="0" borderId="10" xfId="0" applyNumberFormat="1" applyFont="1" applyBorder="1" applyAlignment="1">
      <alignment vertical="center"/>
    </xf>
    <xf numFmtId="0" fontId="6" fillId="0" borderId="10" xfId="0" applyFont="1" applyBorder="1" applyAlignment="1">
      <alignment vertical="center"/>
    </xf>
    <xf numFmtId="0" fontId="6" fillId="0" borderId="0" xfId="0" applyFont="1" applyAlignment="1">
      <alignment vertical="center"/>
    </xf>
    <xf numFmtId="0" fontId="14" fillId="0" borderId="0" xfId="0" applyFont="1" applyAlignment="1">
      <alignment wrapText="1"/>
    </xf>
    <xf numFmtId="0" fontId="45" fillId="0" borderId="10" xfId="0" applyFont="1" applyBorder="1" applyAlignment="1">
      <alignment horizontal="left" vertical="center" wrapText="1"/>
    </xf>
    <xf numFmtId="3" fontId="7" fillId="0" borderId="0" xfId="0" applyNumberFormat="1" applyFont="1" applyAlignment="1">
      <alignment vertical="center"/>
    </xf>
    <xf numFmtId="3" fontId="46" fillId="33" borderId="10" xfId="0" applyNumberFormat="1" applyFont="1" applyFill="1" applyBorder="1" applyAlignment="1">
      <alignment horizontal="center" vertical="center" wrapText="1"/>
    </xf>
    <xf numFmtId="0" fontId="40" fillId="0" borderId="0" xfId="0" applyFont="1" applyAlignment="1">
      <alignment/>
    </xf>
    <xf numFmtId="0" fontId="40" fillId="0" borderId="16" xfId="0" applyFont="1" applyBorder="1" applyAlignment="1">
      <alignment horizontal="center" vertical="center" wrapText="1"/>
    </xf>
    <xf numFmtId="3" fontId="40" fillId="0" borderId="16" xfId="0" applyNumberFormat="1" applyFont="1" applyBorder="1" applyAlignment="1">
      <alignment horizontal="center" vertical="center" wrapText="1"/>
    </xf>
    <xf numFmtId="1" fontId="39" fillId="0" borderId="10" xfId="0" applyNumberFormat="1" applyFont="1" applyBorder="1" applyAlignment="1">
      <alignment horizontal="left" vertical="center" wrapText="1" shrinkToFit="1"/>
    </xf>
    <xf numFmtId="3" fontId="47" fillId="0" borderId="10" xfId="0" applyNumberFormat="1" applyFont="1" applyBorder="1" applyAlignment="1">
      <alignment vertical="top" wrapText="1"/>
    </xf>
    <xf numFmtId="0" fontId="47" fillId="0" borderId="0" xfId="0" applyFont="1" applyAlignment="1">
      <alignment/>
    </xf>
    <xf numFmtId="1" fontId="5" fillId="0" borderId="10" xfId="0" applyNumberFormat="1" applyFont="1" applyBorder="1" applyAlignment="1">
      <alignment horizontal="left" vertical="center" wrapText="1" shrinkToFit="1"/>
    </xf>
    <xf numFmtId="3" fontId="46" fillId="0" borderId="10" xfId="0" applyNumberFormat="1" applyFont="1" applyBorder="1" applyAlignment="1">
      <alignment vertical="top" wrapText="1"/>
    </xf>
    <xf numFmtId="0" fontId="46" fillId="0" borderId="0" xfId="0" applyFont="1" applyAlignment="1">
      <alignment/>
    </xf>
    <xf numFmtId="1" fontId="7" fillId="0" borderId="10" xfId="0" applyNumberFormat="1" applyFont="1" applyBorder="1" applyAlignment="1">
      <alignment vertical="center" wrapText="1" shrinkToFit="1"/>
    </xf>
    <xf numFmtId="3" fontId="40" fillId="0" borderId="10" xfId="0" applyNumberFormat="1" applyFont="1" applyBorder="1" applyAlignment="1">
      <alignment vertical="top" wrapText="1"/>
    </xf>
    <xf numFmtId="1" fontId="7" fillId="0" borderId="10" xfId="0" applyNumberFormat="1" applyFont="1" applyBorder="1" applyAlignment="1">
      <alignment wrapText="1" shrinkToFit="1"/>
    </xf>
    <xf numFmtId="1" fontId="7" fillId="0" borderId="10" xfId="0" applyNumberFormat="1" applyFont="1" applyBorder="1" applyAlignment="1">
      <alignment horizontal="left" vertical="center" wrapText="1"/>
    </xf>
    <xf numFmtId="1" fontId="24" fillId="0" borderId="10" xfId="0" applyNumberFormat="1" applyFont="1" applyBorder="1" applyAlignment="1">
      <alignment vertical="center" wrapText="1" shrinkToFit="1"/>
    </xf>
    <xf numFmtId="0" fontId="39" fillId="0" borderId="10" xfId="0" applyFont="1" applyBorder="1" applyAlignment="1">
      <alignment vertical="center" wrapText="1"/>
    </xf>
    <xf numFmtId="0" fontId="5" fillId="0" borderId="10" xfId="0" applyFont="1" applyBorder="1" applyAlignment="1">
      <alignment vertical="center" wrapText="1"/>
    </xf>
    <xf numFmtId="3" fontId="7" fillId="0" borderId="10" xfId="0" applyNumberFormat="1" applyFont="1" applyBorder="1" applyAlignment="1">
      <alignment vertical="center" wrapText="1"/>
    </xf>
    <xf numFmtId="1" fontId="40" fillId="0" borderId="10" xfId="0" applyNumberFormat="1" applyFont="1" applyFill="1" applyBorder="1" applyAlignment="1">
      <alignment vertical="center" wrapText="1" shrinkToFit="1"/>
    </xf>
    <xf numFmtId="0" fontId="38" fillId="0" borderId="0" xfId="0" applyFont="1" applyAlignment="1">
      <alignment wrapText="1"/>
    </xf>
    <xf numFmtId="0" fontId="40" fillId="0" borderId="10" xfId="0" applyFont="1" applyBorder="1" applyAlignment="1">
      <alignment/>
    </xf>
    <xf numFmtId="1" fontId="40" fillId="0" borderId="10" xfId="0" applyNumberFormat="1" applyFont="1" applyBorder="1" applyAlignment="1">
      <alignment vertical="center" wrapText="1" shrinkToFit="1"/>
    </xf>
    <xf numFmtId="3" fontId="40" fillId="0" borderId="10" xfId="0" applyNumberFormat="1" applyFont="1" applyFill="1" applyBorder="1" applyAlignment="1">
      <alignment vertical="center" shrinkToFit="1"/>
    </xf>
    <xf numFmtId="1" fontId="7" fillId="0" borderId="10" xfId="0" applyNumberFormat="1" applyFont="1" applyBorder="1" applyAlignment="1">
      <alignment horizontal="center" vertical="center"/>
    </xf>
    <xf numFmtId="3" fontId="7" fillId="0" borderId="10" xfId="0" applyNumberFormat="1" applyFont="1" applyFill="1" applyBorder="1" applyAlignment="1">
      <alignment/>
    </xf>
    <xf numFmtId="3" fontId="7" fillId="0" borderId="10" xfId="0" applyNumberFormat="1" applyFont="1" applyBorder="1" applyAlignment="1">
      <alignment/>
    </xf>
    <xf numFmtId="3" fontId="40" fillId="0" borderId="10" xfId="0" applyNumberFormat="1" applyFont="1" applyFill="1" applyBorder="1" applyAlignment="1">
      <alignment wrapText="1"/>
    </xf>
    <xf numFmtId="1" fontId="5" fillId="0" borderId="10" xfId="0" applyNumberFormat="1" applyFont="1" applyBorder="1" applyAlignment="1">
      <alignment horizontal="left" vertical="center" wrapText="1"/>
    </xf>
    <xf numFmtId="3" fontId="5" fillId="0" borderId="10" xfId="0" applyNumberFormat="1" applyFont="1" applyBorder="1" applyAlignment="1">
      <alignment vertical="top" wrapText="1"/>
    </xf>
    <xf numFmtId="3" fontId="7" fillId="0" borderId="10" xfId="0" applyNumberFormat="1" applyFont="1" applyBorder="1" applyAlignment="1">
      <alignment vertical="top" wrapText="1"/>
    </xf>
    <xf numFmtId="3" fontId="46" fillId="0" borderId="10" xfId="0" applyNumberFormat="1" applyFont="1" applyBorder="1" applyAlignment="1">
      <alignment horizontal="center" vertical="center" wrapText="1"/>
    </xf>
    <xf numFmtId="0" fontId="40" fillId="0" borderId="0" xfId="0" applyFont="1" applyAlignment="1">
      <alignment horizontal="center" vertical="center"/>
    </xf>
    <xf numFmtId="0" fontId="7" fillId="0" borderId="0" xfId="0" applyFont="1" applyAlignment="1">
      <alignment vertical="center"/>
    </xf>
    <xf numFmtId="0" fontId="5" fillId="0" borderId="10" xfId="0" applyFont="1" applyBorder="1" applyAlignment="1">
      <alignment vertical="center"/>
    </xf>
    <xf numFmtId="0" fontId="10" fillId="0" borderId="10" xfId="52" applyFont="1" applyBorder="1" applyAlignment="1">
      <alignment horizontal="center"/>
      <protection/>
    </xf>
    <xf numFmtId="0" fontId="11" fillId="0" borderId="15" xfId="52" applyFont="1" applyBorder="1" applyAlignment="1">
      <alignment wrapText="1"/>
      <protection/>
    </xf>
    <xf numFmtId="0" fontId="11" fillId="0" borderId="31" xfId="52" applyFont="1" applyBorder="1" applyAlignment="1">
      <alignment/>
      <protection/>
    </xf>
    <xf numFmtId="0" fontId="11" fillId="0" borderId="32" xfId="52" applyFont="1" applyBorder="1" applyAlignment="1">
      <alignment/>
      <protection/>
    </xf>
    <xf numFmtId="3" fontId="11" fillId="0" borderId="32" xfId="52" applyNumberFormat="1" applyFont="1" applyBorder="1">
      <alignment/>
      <protection/>
    </xf>
    <xf numFmtId="3" fontId="11" fillId="0" borderId="30" xfId="52" applyNumberFormat="1" applyFont="1" applyBorder="1">
      <alignment/>
      <protection/>
    </xf>
    <xf numFmtId="1" fontId="21" fillId="0" borderId="10" xfId="0" applyNumberFormat="1" applyFont="1" applyBorder="1" applyAlignment="1">
      <alignment vertical="center" wrapText="1" shrinkToFit="1"/>
    </xf>
    <xf numFmtId="0" fontId="10" fillId="35" borderId="10" xfId="52" applyFont="1" applyFill="1" applyBorder="1" applyAlignment="1">
      <alignment wrapText="1"/>
      <protection/>
    </xf>
    <xf numFmtId="3" fontId="11" fillId="0" borderId="0" xfId="52" applyNumberFormat="1" applyFont="1">
      <alignment/>
      <protection/>
    </xf>
    <xf numFmtId="3" fontId="49" fillId="0" borderId="10" xfId="0" applyNumberFormat="1" applyFont="1" applyBorder="1" applyAlignment="1">
      <alignment horizontal="center" vertical="center"/>
    </xf>
    <xf numFmtId="3" fontId="11" fillId="0" borderId="10" xfId="0" applyNumberFormat="1" applyFont="1" applyBorder="1" applyAlignment="1">
      <alignment horizontal="right" vertical="top" wrapText="1"/>
    </xf>
    <xf numFmtId="3" fontId="50" fillId="0" borderId="10" xfId="0" applyNumberFormat="1" applyFont="1" applyFill="1" applyBorder="1" applyAlignment="1">
      <alignment vertical="center" shrinkToFit="1"/>
    </xf>
    <xf numFmtId="0" fontId="12" fillId="0" borderId="10" xfId="0" applyFont="1" applyBorder="1" applyAlignment="1">
      <alignment horizontal="center" vertical="center" wrapText="1"/>
    </xf>
    <xf numFmtId="3" fontId="39" fillId="35" borderId="10" xfId="0" applyNumberFormat="1" applyFont="1" applyFill="1" applyBorder="1" applyAlignment="1">
      <alignment vertical="center"/>
    </xf>
    <xf numFmtId="3" fontId="5" fillId="35" borderId="10" xfId="0" applyNumberFormat="1" applyFont="1" applyFill="1" applyBorder="1" applyAlignment="1">
      <alignment vertical="center"/>
    </xf>
    <xf numFmtId="3" fontId="7" fillId="35" borderId="10" xfId="0" applyNumberFormat="1" applyFont="1" applyFill="1" applyBorder="1" applyAlignment="1">
      <alignment vertical="center"/>
    </xf>
    <xf numFmtId="3" fontId="5" fillId="35" borderId="10" xfId="0" applyNumberFormat="1" applyFont="1" applyFill="1" applyBorder="1" applyAlignment="1">
      <alignment vertical="center"/>
    </xf>
    <xf numFmtId="3" fontId="39" fillId="35" borderId="10" xfId="0" applyNumberFormat="1" applyFont="1" applyFill="1" applyBorder="1" applyAlignment="1">
      <alignment vertical="center"/>
    </xf>
    <xf numFmtId="3" fontId="39" fillId="35" borderId="10" xfId="0" applyNumberFormat="1" applyFont="1" applyFill="1" applyBorder="1" applyAlignment="1">
      <alignment/>
    </xf>
    <xf numFmtId="3" fontId="5" fillId="35" borderId="10" xfId="0" applyNumberFormat="1" applyFont="1" applyFill="1" applyBorder="1" applyAlignment="1">
      <alignment/>
    </xf>
    <xf numFmtId="3" fontId="7" fillId="35" borderId="10" xfId="0" applyNumberFormat="1" applyFont="1" applyFill="1" applyBorder="1" applyAlignment="1">
      <alignment/>
    </xf>
    <xf numFmtId="3" fontId="5" fillId="35" borderId="10" xfId="0" applyNumberFormat="1" applyFont="1" applyFill="1" applyBorder="1" applyAlignment="1">
      <alignment/>
    </xf>
    <xf numFmtId="3" fontId="7" fillId="35" borderId="10" xfId="0" applyNumberFormat="1" applyFont="1" applyFill="1" applyBorder="1" applyAlignment="1">
      <alignment vertical="center"/>
    </xf>
    <xf numFmtId="3" fontId="38" fillId="35" borderId="10" xfId="0" applyNumberFormat="1" applyFont="1" applyFill="1" applyBorder="1" applyAlignment="1">
      <alignment/>
    </xf>
    <xf numFmtId="3" fontId="38" fillId="35" borderId="10" xfId="0" applyNumberFormat="1" applyFont="1" applyFill="1" applyBorder="1" applyAlignment="1">
      <alignment/>
    </xf>
    <xf numFmtId="3" fontId="38" fillId="35" borderId="10" xfId="0" applyNumberFormat="1" applyFont="1" applyFill="1" applyBorder="1" applyAlignment="1">
      <alignment horizontal="right" vertical="center"/>
    </xf>
    <xf numFmtId="3" fontId="24" fillId="35" borderId="10" xfId="0" applyNumberFormat="1" applyFont="1" applyFill="1" applyBorder="1" applyAlignment="1">
      <alignment horizontal="right" vertical="center"/>
    </xf>
    <xf numFmtId="0" fontId="51" fillId="0" borderId="10" xfId="0" applyFont="1" applyBorder="1" applyAlignment="1">
      <alignment horizontal="center" vertical="center" shrinkToFit="1"/>
    </xf>
    <xf numFmtId="3" fontId="47" fillId="35" borderId="10" xfId="0" applyNumberFormat="1" applyFont="1" applyFill="1" applyBorder="1" applyAlignment="1">
      <alignment vertical="top" wrapText="1"/>
    </xf>
    <xf numFmtId="3" fontId="7" fillId="35" borderId="0" xfId="0" applyNumberFormat="1" applyFont="1" applyFill="1" applyAlignment="1">
      <alignment vertical="center"/>
    </xf>
    <xf numFmtId="1" fontId="7" fillId="36" borderId="10" xfId="0" applyNumberFormat="1" applyFont="1" applyFill="1" applyBorder="1" applyAlignment="1">
      <alignment vertical="center" wrapText="1" shrinkToFit="1"/>
    </xf>
    <xf numFmtId="0" fontId="17" fillId="35" borderId="10" xfId="0" applyFont="1" applyFill="1" applyBorder="1" applyAlignment="1">
      <alignment horizontal="center" wrapText="1"/>
    </xf>
    <xf numFmtId="0" fontId="17" fillId="35" borderId="10" xfId="0" applyFont="1" applyFill="1" applyBorder="1" applyAlignment="1">
      <alignment wrapText="1"/>
    </xf>
    <xf numFmtId="3" fontId="17" fillId="35" borderId="10" xfId="0" applyNumberFormat="1" applyFont="1" applyFill="1" applyBorder="1" applyAlignment="1">
      <alignment horizontal="right" vertical="top" wrapText="1"/>
    </xf>
    <xf numFmtId="0" fontId="17" fillId="35" borderId="10" xfId="0" applyFont="1" applyFill="1" applyBorder="1" applyAlignment="1">
      <alignment/>
    </xf>
    <xf numFmtId="0" fontId="0" fillId="35" borderId="10" xfId="0" applyFill="1" applyBorder="1" applyAlignment="1">
      <alignment/>
    </xf>
    <xf numFmtId="0" fontId="14" fillId="35" borderId="10" xfId="0" applyFont="1" applyFill="1" applyBorder="1" applyAlignment="1">
      <alignment horizontal="center" wrapText="1"/>
    </xf>
    <xf numFmtId="0" fontId="14" fillId="35" borderId="10" xfId="0" applyFont="1" applyFill="1" applyBorder="1" applyAlignment="1">
      <alignment horizontal="left" wrapText="1" indent="1"/>
    </xf>
    <xf numFmtId="3" fontId="14" fillId="35" borderId="10" xfId="0" applyNumberFormat="1" applyFont="1" applyFill="1" applyBorder="1" applyAlignment="1">
      <alignment horizontal="right" vertical="top" wrapText="1"/>
    </xf>
    <xf numFmtId="3" fontId="17" fillId="0" borderId="10" xfId="0" applyNumberFormat="1" applyFont="1" applyFill="1" applyBorder="1" applyAlignment="1">
      <alignment horizontal="right" vertical="center" wrapText="1"/>
    </xf>
    <xf numFmtId="3" fontId="54" fillId="0" borderId="10" xfId="0" applyNumberFormat="1" applyFont="1" applyBorder="1" applyAlignment="1">
      <alignment horizontal="right" vertical="center" wrapText="1"/>
    </xf>
    <xf numFmtId="0" fontId="54" fillId="0" borderId="10" xfId="0" applyFont="1" applyBorder="1" applyAlignment="1">
      <alignment horizontal="center" vertical="center" wrapText="1"/>
    </xf>
    <xf numFmtId="0" fontId="54" fillId="0" borderId="10" xfId="0" applyFont="1" applyBorder="1" applyAlignment="1">
      <alignment horizontal="left" vertical="center" wrapText="1"/>
    </xf>
    <xf numFmtId="0" fontId="17" fillId="33" borderId="33" xfId="0" applyFont="1" applyFill="1" applyBorder="1" applyAlignment="1">
      <alignment vertical="center"/>
    </xf>
    <xf numFmtId="0" fontId="17" fillId="33" borderId="18" xfId="0" applyFont="1" applyFill="1" applyBorder="1" applyAlignment="1">
      <alignment vertical="center"/>
    </xf>
    <xf numFmtId="0" fontId="17" fillId="33" borderId="18" xfId="0" applyFont="1" applyFill="1" applyBorder="1" applyAlignment="1">
      <alignment horizontal="center" vertical="center" wrapText="1"/>
    </xf>
    <xf numFmtId="0" fontId="0" fillId="0" borderId="0" xfId="0" applyFont="1" applyAlignment="1">
      <alignment wrapText="1"/>
    </xf>
    <xf numFmtId="0" fontId="0" fillId="0" borderId="10" xfId="0" applyFont="1" applyBorder="1" applyAlignment="1">
      <alignment wrapText="1"/>
    </xf>
    <xf numFmtId="0" fontId="8" fillId="0" borderId="10" xfId="0" applyFont="1" applyBorder="1" applyAlignment="1">
      <alignment vertical="center" wrapText="1"/>
    </xf>
    <xf numFmtId="0" fontId="21" fillId="0" borderId="10" xfId="0" applyFont="1" applyBorder="1" applyAlignment="1">
      <alignment horizontal="center" vertical="center"/>
    </xf>
    <xf numFmtId="0" fontId="8" fillId="0" borderId="17" xfId="0" applyFont="1" applyBorder="1" applyAlignment="1">
      <alignment vertical="center" wrapText="1"/>
    </xf>
    <xf numFmtId="0" fontId="53" fillId="0" borderId="17" xfId="0" applyFont="1" applyBorder="1" applyAlignment="1">
      <alignment vertical="center" wrapText="1"/>
    </xf>
    <xf numFmtId="0" fontId="8" fillId="0" borderId="18" xfId="0" applyFont="1" applyBorder="1" applyAlignment="1">
      <alignment horizontal="center" vertical="center" wrapText="1"/>
    </xf>
    <xf numFmtId="1" fontId="8" fillId="0" borderId="10" xfId="0" applyNumberFormat="1" applyFont="1" applyBorder="1" applyAlignment="1">
      <alignment vertical="center"/>
    </xf>
    <xf numFmtId="1" fontId="8" fillId="0" borderId="10" xfId="0" applyNumberFormat="1" applyFont="1" applyBorder="1" applyAlignment="1">
      <alignment horizontal="right" vertical="center"/>
    </xf>
    <xf numFmtId="0" fontId="14" fillId="0" borderId="34" xfId="0" applyFont="1" applyFill="1" applyBorder="1" applyAlignment="1">
      <alignment horizontal="left" vertical="center" wrapText="1"/>
    </xf>
    <xf numFmtId="0" fontId="14" fillId="0" borderId="10" xfId="0" applyFont="1" applyBorder="1" applyAlignment="1">
      <alignment wrapText="1"/>
    </xf>
    <xf numFmtId="0" fontId="0" fillId="0" borderId="16" xfId="0" applyBorder="1" applyAlignment="1">
      <alignment vertical="center" wrapText="1"/>
    </xf>
    <xf numFmtId="0" fontId="14" fillId="0" borderId="10" xfId="0" applyFont="1" applyFill="1" applyBorder="1" applyAlignment="1">
      <alignment wrapText="1"/>
    </xf>
    <xf numFmtId="3" fontId="39" fillId="36" borderId="10" xfId="0" applyNumberFormat="1" applyFont="1" applyFill="1" applyBorder="1" applyAlignment="1">
      <alignment/>
    </xf>
    <xf numFmtId="3" fontId="5" fillId="36" borderId="10" xfId="0" applyNumberFormat="1" applyFont="1" applyFill="1" applyBorder="1" applyAlignment="1">
      <alignment/>
    </xf>
    <xf numFmtId="0" fontId="7" fillId="0" borderId="10" xfId="0" applyFont="1" applyBorder="1" applyAlignment="1">
      <alignment horizontal="right"/>
    </xf>
    <xf numFmtId="3" fontId="40" fillId="35" borderId="10" xfId="0" applyNumberFormat="1" applyFont="1" applyFill="1" applyBorder="1" applyAlignment="1">
      <alignment vertical="top" wrapText="1"/>
    </xf>
    <xf numFmtId="3" fontId="6" fillId="0" borderId="10" xfId="0" applyNumberFormat="1" applyFont="1" applyFill="1" applyBorder="1" applyAlignment="1">
      <alignment vertical="center" shrinkToFit="1"/>
    </xf>
    <xf numFmtId="0" fontId="21" fillId="33" borderId="10" xfId="0" applyFont="1" applyFill="1" applyBorder="1" applyAlignment="1">
      <alignment horizontal="center" vertical="center"/>
    </xf>
    <xf numFmtId="3" fontId="21" fillId="33" borderId="10" xfId="0" applyNumberFormat="1" applyFont="1" applyFill="1" applyBorder="1" applyAlignment="1">
      <alignment horizontal="center" vertical="center" wrapText="1"/>
    </xf>
    <xf numFmtId="4" fontId="4" fillId="0" borderId="14" xfId="0" applyNumberFormat="1" applyFont="1" applyBorder="1" applyAlignment="1">
      <alignment horizontal="right"/>
    </xf>
    <xf numFmtId="4" fontId="4" fillId="0" borderId="16" xfId="0" applyNumberFormat="1" applyFont="1" applyBorder="1" applyAlignment="1">
      <alignment horizontal="right"/>
    </xf>
    <xf numFmtId="4" fontId="21" fillId="33" borderId="10" xfId="0" applyNumberFormat="1" applyFont="1" applyFill="1" applyBorder="1" applyAlignment="1">
      <alignment horizontal="center" vertical="center" wrapText="1"/>
    </xf>
    <xf numFmtId="0" fontId="55" fillId="0" borderId="10" xfId="0" applyFont="1" applyBorder="1" applyAlignment="1">
      <alignment/>
    </xf>
    <xf numFmtId="3" fontId="1" fillId="0" borderId="10" xfId="0" applyNumberFormat="1" applyFont="1" applyBorder="1" applyAlignment="1">
      <alignment wrapText="1"/>
    </xf>
    <xf numFmtId="3" fontId="0" fillId="0" borderId="10" xfId="0" applyNumberFormat="1" applyFont="1" applyBorder="1" applyAlignment="1">
      <alignment/>
    </xf>
    <xf numFmtId="3" fontId="0" fillId="0" borderId="10" xfId="0" applyNumberFormat="1" applyBorder="1" applyAlignment="1">
      <alignment wrapText="1"/>
    </xf>
    <xf numFmtId="0" fontId="21" fillId="0" borderId="0" xfId="0" applyFont="1" applyAlignment="1">
      <alignment horizontal="center" vertical="center"/>
    </xf>
    <xf numFmtId="0" fontId="56" fillId="0" borderId="10" xfId="0" applyFont="1" applyBorder="1" applyAlignment="1">
      <alignment vertical="center"/>
    </xf>
    <xf numFmtId="0" fontId="8" fillId="0" borderId="0" xfId="0" applyFont="1" applyAlignment="1">
      <alignment/>
    </xf>
    <xf numFmtId="3" fontId="11" fillId="0" borderId="10" xfId="0" applyNumberFormat="1" applyFont="1" applyFill="1" applyBorder="1" applyAlignment="1">
      <alignment horizontal="right" vertical="top" wrapText="1"/>
    </xf>
    <xf numFmtId="3" fontId="11" fillId="0" borderId="0" xfId="0" applyNumberFormat="1" applyFont="1" applyBorder="1" applyAlignment="1">
      <alignment horizontal="right" vertical="top" wrapText="1"/>
    </xf>
    <xf numFmtId="3" fontId="23" fillId="0" borderId="10" xfId="0" applyNumberFormat="1" applyFont="1" applyFill="1" applyBorder="1" applyAlignment="1">
      <alignment vertical="center" shrinkToFit="1"/>
    </xf>
    <xf numFmtId="3" fontId="23" fillId="0" borderId="10" xfId="0" applyNumberFormat="1" applyFont="1" applyFill="1" applyBorder="1" applyAlignment="1">
      <alignment wrapText="1"/>
    </xf>
    <xf numFmtId="0" fontId="10" fillId="0" borderId="15" xfId="52" applyFont="1" applyBorder="1" applyAlignment="1">
      <alignment horizontal="center" vertical="center"/>
      <protection/>
    </xf>
    <xf numFmtId="0" fontId="10" fillId="0" borderId="10" xfId="52" applyFont="1" applyBorder="1" applyAlignment="1">
      <alignment/>
      <protection/>
    </xf>
    <xf numFmtId="3" fontId="10" fillId="0" borderId="0" xfId="52" applyNumberFormat="1" applyFont="1" applyBorder="1">
      <alignment/>
      <protection/>
    </xf>
    <xf numFmtId="0" fontId="11" fillId="0" borderId="10" xfId="52" applyFont="1" applyBorder="1" applyAlignment="1">
      <alignment horizontal="right" wrapText="1"/>
      <protection/>
    </xf>
    <xf numFmtId="3" fontId="0" fillId="0" borderId="35" xfId="0" applyNumberFormat="1" applyBorder="1" applyAlignment="1">
      <alignment/>
    </xf>
    <xf numFmtId="3" fontId="0" fillId="0" borderId="36" xfId="0" applyNumberFormat="1" applyBorder="1" applyAlignment="1">
      <alignment/>
    </xf>
    <xf numFmtId="0" fontId="6" fillId="0" borderId="10" xfId="0" applyFont="1" applyBorder="1" applyAlignment="1">
      <alignment horizontal="center" vertical="center" wrapText="1"/>
    </xf>
    <xf numFmtId="0" fontId="8" fillId="0" borderId="10" xfId="0" applyFont="1" applyBorder="1" applyAlignment="1">
      <alignment horizontal="left" vertical="center" wrapText="1"/>
    </xf>
    <xf numFmtId="1" fontId="8" fillId="0" borderId="14" xfId="0" applyNumberFormat="1" applyFont="1" applyFill="1" applyBorder="1" applyAlignment="1">
      <alignment horizontal="left" vertical="center" wrapText="1" shrinkToFit="1"/>
    </xf>
    <xf numFmtId="3" fontId="10" fillId="0" borderId="10" xfId="52" applyNumberFormat="1" applyFont="1" applyBorder="1" applyAlignment="1">
      <alignment/>
      <protection/>
    </xf>
    <xf numFmtId="0" fontId="11" fillId="0" borderId="10" xfId="52" applyFont="1" applyBorder="1" applyAlignment="1">
      <alignment horizontal="center" vertical="center" wrapText="1"/>
      <protection/>
    </xf>
    <xf numFmtId="0" fontId="0" fillId="0" borderId="10" xfId="0" applyBorder="1" applyAlignment="1">
      <alignment vertical="center" wrapText="1"/>
    </xf>
    <xf numFmtId="0" fontId="0" fillId="0" borderId="18" xfId="0" applyBorder="1" applyAlignment="1">
      <alignment vertical="center"/>
    </xf>
    <xf numFmtId="0" fontId="12" fillId="0" borderId="0" xfId="0" applyFont="1" applyAlignment="1">
      <alignment wrapText="1"/>
    </xf>
    <xf numFmtId="0" fontId="12" fillId="0" borderId="10" xfId="0" applyFont="1" applyBorder="1" applyAlignment="1">
      <alignment wrapText="1"/>
    </xf>
    <xf numFmtId="0" fontId="11" fillId="0" borderId="16" xfId="0" applyFont="1" applyBorder="1" applyAlignment="1">
      <alignment horizontal="center" vertical="center" wrapText="1"/>
    </xf>
    <xf numFmtId="0" fontId="57" fillId="0" borderId="10" xfId="0" applyFont="1" applyBorder="1" applyAlignment="1">
      <alignment horizontal="center" vertical="center" shrinkToFit="1"/>
    </xf>
    <xf numFmtId="0" fontId="21" fillId="0" borderId="10" xfId="0" applyFont="1" applyBorder="1" applyAlignment="1">
      <alignment horizontal="center" vertical="center" shrinkToFit="1"/>
    </xf>
    <xf numFmtId="0" fontId="8" fillId="0" borderId="10" xfId="0" applyFont="1" applyBorder="1" applyAlignment="1">
      <alignment horizontal="center" vertical="center" shrinkToFit="1"/>
    </xf>
    <xf numFmtId="0" fontId="57" fillId="0" borderId="10" xfId="0" applyFont="1" applyBorder="1" applyAlignment="1">
      <alignment shrinkToFit="1"/>
    </xf>
    <xf numFmtId="0" fontId="57" fillId="0" borderId="10" xfId="0" applyFont="1" applyFill="1" applyBorder="1" applyAlignment="1">
      <alignment horizontal="center" vertical="center" shrinkToFit="1"/>
    </xf>
    <xf numFmtId="0" fontId="57" fillId="0" borderId="10" xfId="0" applyFont="1" applyBorder="1" applyAlignment="1">
      <alignment horizontal="center" vertical="center"/>
    </xf>
    <xf numFmtId="0" fontId="21" fillId="0" borderId="10" xfId="0" applyFont="1" applyBorder="1" applyAlignment="1">
      <alignment horizontal="center" vertical="center"/>
    </xf>
    <xf numFmtId="0" fontId="8" fillId="36" borderId="10" xfId="0" applyFont="1" applyFill="1" applyBorder="1" applyAlignment="1">
      <alignment horizontal="center" vertical="center" shrinkToFit="1"/>
    </xf>
    <xf numFmtId="0" fontId="58" fillId="0" borderId="10" xfId="0" applyFont="1" applyFill="1" applyBorder="1" applyAlignment="1">
      <alignment horizontal="center" vertical="center" shrinkToFit="1"/>
    </xf>
    <xf numFmtId="0" fontId="21" fillId="0" borderId="10" xfId="0" applyFont="1" applyBorder="1" applyAlignment="1">
      <alignment/>
    </xf>
    <xf numFmtId="0" fontId="8" fillId="0" borderId="10" xfId="0" applyFont="1" applyBorder="1" applyAlignment="1">
      <alignment/>
    </xf>
    <xf numFmtId="0" fontId="21" fillId="36" borderId="10" xfId="0" applyFont="1" applyFill="1" applyBorder="1" applyAlignment="1">
      <alignment/>
    </xf>
    <xf numFmtId="0" fontId="57" fillId="37" borderId="10" xfId="0" applyFont="1" applyFill="1" applyBorder="1" applyAlignment="1">
      <alignment horizontal="center" vertical="center" shrinkToFit="1"/>
    </xf>
    <xf numFmtId="0" fontId="57" fillId="36" borderId="10" xfId="0" applyFont="1" applyFill="1" applyBorder="1" applyAlignment="1">
      <alignment horizontal="center" vertical="center" shrinkToFit="1"/>
    </xf>
    <xf numFmtId="0" fontId="21" fillId="0" borderId="10" xfId="0" applyFont="1" applyBorder="1" applyAlignment="1">
      <alignment horizontal="center" vertical="center" shrinkToFit="1"/>
    </xf>
    <xf numFmtId="0" fontId="57" fillId="0" borderId="10" xfId="0" applyFont="1" applyBorder="1" applyAlignment="1">
      <alignment horizontal="center" vertical="center" shrinkToFit="1"/>
    </xf>
    <xf numFmtId="0" fontId="23" fillId="0" borderId="16" xfId="0" applyFont="1" applyBorder="1" applyAlignment="1">
      <alignment horizontal="center" vertical="center" wrapText="1"/>
    </xf>
    <xf numFmtId="1" fontId="26" fillId="0" borderId="10" xfId="0" applyNumberFormat="1" applyFont="1" applyBorder="1" applyAlignment="1">
      <alignment horizontal="center" vertical="center"/>
    </xf>
    <xf numFmtId="1" fontId="29" fillId="0" borderId="1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6" fillId="0" borderId="10" xfId="0" applyNumberFormat="1" applyFont="1" applyBorder="1" applyAlignment="1">
      <alignment/>
    </xf>
    <xf numFmtId="0" fontId="26" fillId="0" borderId="10" xfId="0" applyFont="1" applyBorder="1" applyAlignment="1">
      <alignment horizontal="center" vertical="center"/>
    </xf>
    <xf numFmtId="0" fontId="29" fillId="0" borderId="10" xfId="0" applyFont="1" applyBorder="1" applyAlignment="1">
      <alignment horizontal="center" vertical="center"/>
    </xf>
    <xf numFmtId="1" fontId="6" fillId="36" borderId="10" xfId="0" applyNumberFormat="1" applyFont="1" applyFill="1" applyBorder="1" applyAlignment="1">
      <alignment horizontal="center" vertical="center"/>
    </xf>
    <xf numFmtId="1" fontId="23" fillId="0" borderId="10" xfId="0" applyNumberFormat="1" applyFont="1" applyFill="1" applyBorder="1" applyAlignment="1">
      <alignment horizontal="center" vertical="center"/>
    </xf>
    <xf numFmtId="1" fontId="23" fillId="0" borderId="10" xfId="0" applyNumberFormat="1" applyFont="1" applyFill="1" applyBorder="1" applyAlignment="1">
      <alignment horizontal="center" vertical="center"/>
    </xf>
    <xf numFmtId="1" fontId="23" fillId="0" borderId="10" xfId="0" applyNumberFormat="1" applyFont="1" applyBorder="1" applyAlignment="1">
      <alignment horizontal="center" vertical="center"/>
    </xf>
    <xf numFmtId="1" fontId="59" fillId="0" borderId="10" xfId="0" applyNumberFormat="1" applyFont="1" applyBorder="1" applyAlignment="1">
      <alignment horizontal="center" vertical="center"/>
    </xf>
    <xf numFmtId="0" fontId="6" fillId="0" borderId="0" xfId="0" applyFont="1" applyAlignment="1">
      <alignment vertical="center"/>
    </xf>
    <xf numFmtId="0" fontId="6" fillId="0" borderId="10" xfId="0" applyFont="1" applyBorder="1" applyAlignment="1">
      <alignment vertical="center"/>
    </xf>
    <xf numFmtId="3" fontId="61" fillId="0" borderId="10" xfId="0" applyNumberFormat="1" applyFont="1" applyBorder="1" applyAlignment="1">
      <alignment vertical="top" wrapText="1"/>
    </xf>
    <xf numFmtId="0" fontId="7" fillId="0" borderId="10" xfId="0" applyFont="1" applyBorder="1" applyAlignment="1">
      <alignment vertical="center"/>
    </xf>
    <xf numFmtId="3" fontId="46" fillId="33" borderId="15" xfId="0" applyNumberFormat="1" applyFont="1" applyFill="1" applyBorder="1" applyAlignment="1">
      <alignment vertical="center" wrapText="1"/>
    </xf>
    <xf numFmtId="3" fontId="47" fillId="0" borderId="16" xfId="0" applyNumberFormat="1" applyFont="1" applyBorder="1" applyAlignment="1">
      <alignment horizontal="center" vertical="center" wrapText="1"/>
    </xf>
    <xf numFmtId="3" fontId="39" fillId="0" borderId="0" xfId="0" applyNumberFormat="1" applyFont="1" applyAlignment="1">
      <alignment vertical="center"/>
    </xf>
    <xf numFmtId="0" fontId="21" fillId="0" borderId="0" xfId="0" applyFont="1" applyAlignment="1">
      <alignment vertical="center"/>
    </xf>
    <xf numFmtId="0" fontId="29" fillId="0" borderId="0" xfId="0" applyFont="1" applyAlignment="1">
      <alignment vertical="center"/>
    </xf>
    <xf numFmtId="3" fontId="5" fillId="0" borderId="0" xfId="0" applyNumberFormat="1" applyFont="1" applyAlignment="1">
      <alignment vertical="center"/>
    </xf>
    <xf numFmtId="1" fontId="23" fillId="0" borderId="10" xfId="0" applyNumberFormat="1" applyFont="1" applyFill="1" applyBorder="1" applyAlignment="1">
      <alignment vertical="center" wrapText="1" shrinkToFit="1"/>
    </xf>
    <xf numFmtId="0" fontId="60" fillId="0" borderId="10" xfId="0" applyFont="1" applyFill="1" applyBorder="1" applyAlignment="1">
      <alignment horizontal="center" vertical="center" shrinkToFit="1"/>
    </xf>
    <xf numFmtId="1" fontId="60" fillId="0" borderId="10" xfId="0" applyNumberFormat="1" applyFont="1" applyFill="1" applyBorder="1" applyAlignment="1">
      <alignment horizontal="center" vertical="center"/>
    </xf>
    <xf numFmtId="1" fontId="60" fillId="0" borderId="10" xfId="0" applyNumberFormat="1" applyFont="1" applyFill="1" applyBorder="1" applyAlignment="1">
      <alignment vertical="center" wrapText="1" shrinkToFit="1"/>
    </xf>
    <xf numFmtId="0" fontId="50" fillId="0" borderId="10" xfId="0" applyFont="1" applyFill="1" applyBorder="1" applyAlignment="1">
      <alignment horizontal="center" vertical="center" shrinkToFit="1"/>
    </xf>
    <xf numFmtId="1" fontId="50" fillId="0" borderId="10" xfId="0" applyNumberFormat="1" applyFont="1" applyFill="1" applyBorder="1" applyAlignment="1">
      <alignment horizontal="center" vertical="center"/>
    </xf>
    <xf numFmtId="1" fontId="50" fillId="0" borderId="10" xfId="0" applyNumberFormat="1" applyFont="1" applyFill="1" applyBorder="1" applyAlignment="1">
      <alignment vertical="center" wrapText="1" shrinkToFit="1"/>
    </xf>
    <xf numFmtId="0" fontId="23" fillId="0" borderId="10" xfId="0" applyFont="1" applyFill="1" applyBorder="1" applyAlignment="1">
      <alignment horizontal="center" vertical="center" shrinkToFit="1"/>
    </xf>
    <xf numFmtId="0" fontId="6" fillId="0" borderId="10" xfId="0" applyFont="1" applyBorder="1" applyAlignment="1">
      <alignment/>
    </xf>
    <xf numFmtId="0" fontId="23" fillId="0" borderId="0" xfId="0" applyFont="1" applyAlignment="1">
      <alignment wrapText="1"/>
    </xf>
    <xf numFmtId="3" fontId="6" fillId="0" borderId="10" xfId="0" applyNumberFormat="1" applyFont="1" applyFill="1" applyBorder="1" applyAlignment="1">
      <alignment horizontal="right" vertical="center"/>
    </xf>
    <xf numFmtId="0" fontId="23" fillId="0" borderId="10" xfId="0" applyFont="1" applyBorder="1" applyAlignment="1">
      <alignment horizontal="left" vertical="center" wrapText="1"/>
    </xf>
    <xf numFmtId="0" fontId="33" fillId="0" borderId="0" xfId="0" applyFont="1" applyAlignment="1">
      <alignment wrapText="1"/>
    </xf>
    <xf numFmtId="0" fontId="62" fillId="0" borderId="0" xfId="0" applyFont="1" applyAlignment="1">
      <alignment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11" fillId="36" borderId="10" xfId="52" applyFont="1" applyFill="1" applyBorder="1" applyAlignment="1">
      <alignment wrapText="1"/>
      <protection/>
    </xf>
    <xf numFmtId="0" fontId="11" fillId="36" borderId="10" xfId="52" applyFont="1" applyFill="1" applyBorder="1" applyAlignment="1">
      <alignment/>
      <protection/>
    </xf>
    <xf numFmtId="3" fontId="14" fillId="36" borderId="10" xfId="0" applyNumberFormat="1" applyFont="1" applyFill="1" applyBorder="1" applyAlignment="1">
      <alignment horizontal="right" vertical="top" wrapText="1"/>
    </xf>
    <xf numFmtId="3" fontId="11" fillId="36" borderId="10" xfId="52" applyNumberFormat="1" applyFont="1" applyFill="1" applyBorder="1">
      <alignment/>
      <protection/>
    </xf>
    <xf numFmtId="0" fontId="11" fillId="36" borderId="10" xfId="52" applyFont="1" applyFill="1" applyBorder="1">
      <alignment/>
      <protection/>
    </xf>
    <xf numFmtId="0" fontId="11" fillId="36" borderId="0" xfId="52" applyFont="1" applyFill="1">
      <alignment/>
      <protection/>
    </xf>
    <xf numFmtId="0" fontId="66" fillId="0" borderId="10" xfId="52" applyFont="1" applyFill="1" applyBorder="1" applyAlignment="1">
      <alignment wrapText="1"/>
      <protection/>
    </xf>
    <xf numFmtId="3" fontId="0" fillId="35" borderId="10" xfId="0" applyNumberFormat="1" applyFont="1" applyFill="1" applyBorder="1" applyAlignment="1">
      <alignment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9" fillId="0" borderId="0" xfId="0" applyFont="1" applyAlignment="1">
      <alignment/>
    </xf>
    <xf numFmtId="0" fontId="63" fillId="0" borderId="0" xfId="0" applyFont="1" applyAlignment="1">
      <alignment/>
    </xf>
    <xf numFmtId="0" fontId="11" fillId="0" borderId="37" xfId="52" applyFont="1" applyBorder="1" applyAlignment="1">
      <alignment wrapText="1"/>
      <protection/>
    </xf>
    <xf numFmtId="0" fontId="11" fillId="0" borderId="38" xfId="52" applyFont="1" applyBorder="1" applyAlignment="1">
      <alignment wrapText="1"/>
      <protection/>
    </xf>
    <xf numFmtId="0" fontId="11" fillId="0" borderId="14" xfId="52" applyFont="1" applyBorder="1" applyAlignment="1">
      <alignment/>
      <protection/>
    </xf>
    <xf numFmtId="3" fontId="11" fillId="0" borderId="14" xfId="52" applyNumberFormat="1" applyFont="1" applyBorder="1">
      <alignment/>
      <protection/>
    </xf>
    <xf numFmtId="0" fontId="10" fillId="0" borderId="16" xfId="52" applyFont="1" applyBorder="1">
      <alignment/>
      <protection/>
    </xf>
    <xf numFmtId="3" fontId="23" fillId="0" borderId="16" xfId="0" applyNumberFormat="1" applyFont="1" applyBorder="1" applyAlignment="1">
      <alignment horizontal="right" vertical="top" wrapText="1"/>
    </xf>
    <xf numFmtId="0" fontId="10" fillId="0" borderId="17" xfId="52" applyFont="1" applyBorder="1" applyAlignment="1">
      <alignment wrapText="1"/>
      <protection/>
    </xf>
    <xf numFmtId="0" fontId="6" fillId="0" borderId="16" xfId="0" applyFont="1" applyBorder="1" applyAlignment="1">
      <alignment horizontal="center"/>
    </xf>
    <xf numFmtId="3" fontId="23" fillId="0" borderId="16" xfId="0" applyNumberFormat="1" applyFont="1" applyFill="1" applyBorder="1" applyAlignment="1">
      <alignment vertical="center" shrinkToFit="1"/>
    </xf>
    <xf numFmtId="3" fontId="14" fillId="0" borderId="0" xfId="0" applyNumberFormat="1" applyFont="1" applyBorder="1" applyAlignment="1">
      <alignment horizontal="right" vertical="top" wrapText="1"/>
    </xf>
    <xf numFmtId="3" fontId="11" fillId="0" borderId="39" xfId="52" applyNumberFormat="1" applyFont="1" applyBorder="1">
      <alignment/>
      <protection/>
    </xf>
    <xf numFmtId="0" fontId="10" fillId="0" borderId="19" xfId="52" applyFont="1" applyBorder="1">
      <alignment/>
      <protection/>
    </xf>
    <xf numFmtId="0" fontId="11" fillId="0" borderId="40" xfId="52" applyFont="1" applyBorder="1" applyAlignment="1">
      <alignment/>
      <protection/>
    </xf>
    <xf numFmtId="3" fontId="11" fillId="0" borderId="40" xfId="52" applyNumberFormat="1" applyFont="1" applyBorder="1">
      <alignment/>
      <protection/>
    </xf>
    <xf numFmtId="3" fontId="11" fillId="0" borderId="41" xfId="52" applyNumberFormat="1" applyFont="1" applyBorder="1">
      <alignment/>
      <protection/>
    </xf>
    <xf numFmtId="0" fontId="64" fillId="0" borderId="42" xfId="52" applyFont="1" applyBorder="1" applyAlignment="1">
      <alignment/>
      <protection/>
    </xf>
    <xf numFmtId="0" fontId="64" fillId="0" borderId="0" xfId="52" applyFont="1" applyBorder="1" applyAlignment="1">
      <alignment/>
      <protection/>
    </xf>
    <xf numFmtId="0" fontId="64" fillId="0" borderId="40" xfId="52" applyFont="1" applyBorder="1" applyAlignment="1">
      <alignment/>
      <protection/>
    </xf>
    <xf numFmtId="0" fontId="46" fillId="0" borderId="19" xfId="52" applyFont="1" applyBorder="1" applyAlignment="1">
      <alignment/>
      <protection/>
    </xf>
    <xf numFmtId="0" fontId="11" fillId="0" borderId="42" xfId="52" applyFont="1" applyBorder="1" applyAlignment="1">
      <alignment wrapText="1"/>
      <protection/>
    </xf>
    <xf numFmtId="0" fontId="11" fillId="0" borderId="16" xfId="52" applyFont="1" applyBorder="1" applyAlignment="1">
      <alignment wrapText="1"/>
      <protection/>
    </xf>
    <xf numFmtId="0" fontId="11" fillId="0" borderId="31" xfId="52" applyFont="1" applyBorder="1" applyAlignment="1">
      <alignment wrapText="1"/>
      <protection/>
    </xf>
    <xf numFmtId="0" fontId="11" fillId="0" borderId="19" xfId="52" applyFont="1" applyBorder="1" applyAlignment="1">
      <alignment wrapText="1"/>
      <protection/>
    </xf>
    <xf numFmtId="0" fontId="24" fillId="0" borderId="31" xfId="0" applyFont="1" applyBorder="1" applyAlignment="1">
      <alignment/>
    </xf>
    <xf numFmtId="0" fontId="33" fillId="0" borderId="42" xfId="0" applyFont="1" applyBorder="1" applyAlignment="1">
      <alignment/>
    </xf>
    <xf numFmtId="0" fontId="33" fillId="0" borderId="19" xfId="0" applyFont="1" applyBorder="1" applyAlignment="1">
      <alignment/>
    </xf>
    <xf numFmtId="0" fontId="11" fillId="0" borderId="42" xfId="52" applyFont="1" applyBorder="1" applyAlignment="1">
      <alignment horizontal="center" vertical="center"/>
      <protection/>
    </xf>
    <xf numFmtId="0" fontId="10" fillId="0" borderId="14" xfId="52" applyFont="1" applyBorder="1" applyAlignment="1">
      <alignment wrapText="1"/>
      <protection/>
    </xf>
    <xf numFmtId="0" fontId="10" fillId="0" borderId="19" xfId="52" applyFont="1" applyBorder="1" applyAlignment="1">
      <alignment wrapText="1"/>
      <protection/>
    </xf>
    <xf numFmtId="0" fontId="10" fillId="0" borderId="14" xfId="52" applyFont="1" applyBorder="1" applyAlignment="1">
      <alignment/>
      <protection/>
    </xf>
    <xf numFmtId="3" fontId="10" fillId="0" borderId="14" xfId="52" applyNumberFormat="1" applyFont="1" applyBorder="1">
      <alignment/>
      <protection/>
    </xf>
    <xf numFmtId="0" fontId="11" fillId="0" borderId="15" xfId="0" applyFont="1" applyBorder="1" applyAlignment="1">
      <alignment/>
    </xf>
    <xf numFmtId="0" fontId="11" fillId="0" borderId="15" xfId="0" applyFont="1" applyBorder="1" applyAlignment="1">
      <alignment wrapText="1"/>
    </xf>
    <xf numFmtId="0" fontId="65" fillId="0" borderId="0" xfId="0" applyFont="1" applyBorder="1" applyAlignment="1">
      <alignment horizontal="center"/>
    </xf>
    <xf numFmtId="0" fontId="65" fillId="0" borderId="40" xfId="52" applyFont="1" applyBorder="1" applyAlignment="1">
      <alignment/>
      <protection/>
    </xf>
    <xf numFmtId="3" fontId="65" fillId="0" borderId="40" xfId="52" applyNumberFormat="1" applyFont="1" applyBorder="1">
      <alignment/>
      <protection/>
    </xf>
    <xf numFmtId="3" fontId="65" fillId="0" borderId="41" xfId="52" applyNumberFormat="1" applyFont="1" applyBorder="1">
      <alignment/>
      <protection/>
    </xf>
    <xf numFmtId="3" fontId="10" fillId="0" borderId="10" xfId="0" applyNumberFormat="1" applyFont="1" applyBorder="1" applyAlignment="1">
      <alignment horizontal="right" vertical="top" wrapText="1"/>
    </xf>
    <xf numFmtId="3" fontId="50" fillId="0" borderId="10" xfId="0" applyNumberFormat="1" applyFont="1" applyBorder="1" applyAlignment="1">
      <alignment horizontal="right" vertical="top" wrapText="1"/>
    </xf>
    <xf numFmtId="0" fontId="11" fillId="33" borderId="10" xfId="52" applyFont="1" applyFill="1" applyBorder="1" applyAlignment="1">
      <alignment/>
      <protection/>
    </xf>
    <xf numFmtId="3" fontId="0" fillId="36" borderId="10" xfId="0" applyNumberFormat="1" applyFont="1" applyFill="1" applyBorder="1" applyAlignment="1">
      <alignment vertical="center"/>
    </xf>
    <xf numFmtId="1" fontId="23" fillId="0" borderId="10" xfId="0" applyNumberFormat="1" applyFont="1" applyFill="1" applyBorder="1" applyAlignment="1">
      <alignment vertical="center" wrapText="1" shrinkToFit="1"/>
    </xf>
    <xf numFmtId="0" fontId="0" fillId="0" borderId="10" xfId="0" applyBorder="1" applyAlignment="1">
      <alignment horizontal="left" vertical="center"/>
    </xf>
    <xf numFmtId="0" fontId="1" fillId="35" borderId="10" xfId="0" applyFont="1" applyFill="1" applyBorder="1" applyAlignment="1">
      <alignment horizontal="center" vertical="center"/>
    </xf>
    <xf numFmtId="3" fontId="67" fillId="0" borderId="10" xfId="0" applyNumberFormat="1" applyFont="1" applyBorder="1" applyAlignment="1">
      <alignment vertical="center"/>
    </xf>
    <xf numFmtId="3" fontId="0" fillId="36" borderId="10" xfId="0" applyNumberFormat="1" applyFont="1" applyFill="1" applyBorder="1" applyAlignment="1">
      <alignment horizontal="center" vertical="center"/>
    </xf>
    <xf numFmtId="0" fontId="1" fillId="36" borderId="10" xfId="0" applyFont="1" applyFill="1" applyBorder="1" applyAlignment="1">
      <alignment horizontal="center" vertical="center"/>
    </xf>
    <xf numFmtId="0" fontId="6" fillId="36" borderId="10" xfId="0" applyFont="1" applyFill="1" applyBorder="1" applyAlignment="1">
      <alignment horizontal="center" vertical="center"/>
    </xf>
    <xf numFmtId="0" fontId="0" fillId="36" borderId="0" xfId="0" applyFont="1" applyFill="1" applyAlignment="1">
      <alignment vertical="center"/>
    </xf>
    <xf numFmtId="0" fontId="0" fillId="36" borderId="0" xfId="0" applyFill="1" applyAlignment="1">
      <alignment vertical="center"/>
    </xf>
    <xf numFmtId="0" fontId="33" fillId="0" borderId="10" xfId="0" applyFont="1" applyBorder="1" applyAlignment="1">
      <alignment wrapText="1"/>
    </xf>
    <xf numFmtId="0" fontId="26" fillId="0" borderId="10" xfId="0" applyFont="1" applyBorder="1" applyAlignment="1">
      <alignment wrapText="1"/>
    </xf>
    <xf numFmtId="0" fontId="39" fillId="0" borderId="10" xfId="0" applyFont="1" applyBorder="1" applyAlignment="1">
      <alignment/>
    </xf>
    <xf numFmtId="0" fontId="21" fillId="0" borderId="10" xfId="0" applyFont="1" applyBorder="1" applyAlignment="1">
      <alignment wrapText="1"/>
    </xf>
    <xf numFmtId="0" fontId="28" fillId="0" borderId="10" xfId="0" applyFont="1" applyBorder="1" applyAlignment="1">
      <alignment wrapText="1"/>
    </xf>
    <xf numFmtId="0" fontId="50" fillId="0" borderId="10" xfId="0" applyFont="1" applyFill="1" applyBorder="1" applyAlignment="1">
      <alignment/>
    </xf>
    <xf numFmtId="1" fontId="50" fillId="0" borderId="10" xfId="0" applyNumberFormat="1" applyFont="1" applyFill="1" applyBorder="1" applyAlignment="1">
      <alignment horizontal="center" vertical="center"/>
    </xf>
    <xf numFmtId="1" fontId="50" fillId="0" borderId="10" xfId="0" applyNumberFormat="1" applyFont="1" applyFill="1" applyBorder="1" applyAlignment="1">
      <alignment vertical="center" wrapText="1" shrinkToFit="1"/>
    </xf>
    <xf numFmtId="0" fontId="23" fillId="0" borderId="10" xfId="0" applyFont="1" applyFill="1" applyBorder="1" applyAlignment="1">
      <alignment/>
    </xf>
    <xf numFmtId="0" fontId="8" fillId="0" borderId="0" xfId="0" applyFont="1" applyAlignment="1">
      <alignment wrapText="1"/>
    </xf>
    <xf numFmtId="3" fontId="0" fillId="35" borderId="10" xfId="0" applyNumberFormat="1" applyFill="1" applyBorder="1" applyAlignment="1">
      <alignment vertical="center"/>
    </xf>
    <xf numFmtId="1" fontId="68" fillId="0" borderId="10" xfId="0" applyNumberFormat="1" applyFont="1" applyBorder="1" applyAlignment="1">
      <alignment vertical="center" wrapText="1" shrinkToFit="1"/>
    </xf>
    <xf numFmtId="1" fontId="2" fillId="0" borderId="10" xfId="0" applyNumberFormat="1" applyFont="1" applyBorder="1" applyAlignment="1">
      <alignment vertical="center" wrapText="1" shrinkToFit="1"/>
    </xf>
    <xf numFmtId="3" fontId="47" fillId="38" borderId="10" xfId="0" applyNumberFormat="1" applyFont="1" applyFill="1" applyBorder="1" applyAlignment="1">
      <alignment vertical="top" wrapText="1"/>
    </xf>
    <xf numFmtId="0" fontId="34" fillId="0" borderId="10" xfId="0" applyFont="1" applyBorder="1" applyAlignment="1">
      <alignment wrapText="1"/>
    </xf>
    <xf numFmtId="0" fontId="0" fillId="0" borderId="18" xfId="0" applyBorder="1" applyAlignment="1">
      <alignment vertical="center" wrapText="1"/>
    </xf>
    <xf numFmtId="3" fontId="5" fillId="33" borderId="31" xfId="0" applyNumberFormat="1" applyFont="1" applyFill="1" applyBorder="1" applyAlignment="1">
      <alignment horizontal="center" vertical="center" wrapText="1"/>
    </xf>
    <xf numFmtId="3" fontId="5" fillId="33" borderId="32" xfId="0" applyNumberFormat="1" applyFont="1" applyFill="1" applyBorder="1" applyAlignment="1">
      <alignment horizontal="center" vertical="center" wrapText="1"/>
    </xf>
    <xf numFmtId="3" fontId="5" fillId="33" borderId="30" xfId="0" applyNumberFormat="1" applyFont="1" applyFill="1" applyBorder="1" applyAlignment="1">
      <alignment horizontal="center" vertical="center" wrapText="1"/>
    </xf>
    <xf numFmtId="3" fontId="5" fillId="33" borderId="19" xfId="0" applyNumberFormat="1" applyFont="1" applyFill="1" applyBorder="1" applyAlignment="1">
      <alignment horizontal="center" vertical="center" wrapText="1"/>
    </xf>
    <xf numFmtId="3" fontId="5" fillId="33" borderId="40" xfId="0" applyNumberFormat="1" applyFont="1" applyFill="1" applyBorder="1" applyAlignment="1">
      <alignment horizontal="center" vertical="center" wrapText="1"/>
    </xf>
    <xf numFmtId="3" fontId="5" fillId="33" borderId="41" xfId="0" applyNumberFormat="1" applyFont="1" applyFill="1" applyBorder="1" applyAlignment="1">
      <alignment horizontal="center" vertical="center" wrapText="1"/>
    </xf>
    <xf numFmtId="0" fontId="7" fillId="0" borderId="17" xfId="0" applyFont="1" applyBorder="1" applyAlignment="1">
      <alignment horizontal="center" vertical="center"/>
    </xf>
    <xf numFmtId="0" fontId="7" fillId="0" borderId="33" xfId="0" applyFont="1" applyBorder="1" applyAlignment="1">
      <alignment horizontal="center" vertical="center"/>
    </xf>
    <xf numFmtId="0" fontId="7" fillId="0" borderId="18" xfId="0" applyFont="1" applyBorder="1" applyAlignment="1">
      <alignment horizontal="center" vertical="center"/>
    </xf>
    <xf numFmtId="0" fontId="5" fillId="0" borderId="0" xfId="0" applyFont="1" applyAlignment="1">
      <alignment horizont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29" fillId="33" borderId="14" xfId="0" applyFont="1" applyFill="1" applyBorder="1" applyAlignment="1">
      <alignment horizontal="center" vertical="center"/>
    </xf>
    <xf numFmtId="0" fontId="29" fillId="33" borderId="15" xfId="0" applyFont="1" applyFill="1" applyBorder="1" applyAlignment="1">
      <alignment horizontal="center" vertical="center"/>
    </xf>
    <xf numFmtId="0" fontId="5" fillId="33" borderId="16" xfId="0" applyFont="1" applyFill="1" applyBorder="1" applyAlignment="1">
      <alignment horizontal="center" vertical="center"/>
    </xf>
    <xf numFmtId="3" fontId="46" fillId="33" borderId="17" xfId="0" applyNumberFormat="1" applyFont="1" applyFill="1" applyBorder="1" applyAlignment="1">
      <alignment horizontal="center" vertical="center" wrapText="1"/>
    </xf>
    <xf numFmtId="3" fontId="46" fillId="33" borderId="33" xfId="0" applyNumberFormat="1" applyFont="1" applyFill="1" applyBorder="1" applyAlignment="1">
      <alignment horizontal="center" vertical="center" wrapText="1"/>
    </xf>
    <xf numFmtId="3" fontId="46" fillId="33" borderId="18" xfId="0" applyNumberFormat="1" applyFont="1" applyFill="1" applyBorder="1" applyAlignment="1">
      <alignment horizontal="center" vertical="center" wrapText="1"/>
    </xf>
    <xf numFmtId="3" fontId="46" fillId="33" borderId="10" xfId="0" applyNumberFormat="1" applyFont="1" applyFill="1" applyBorder="1" applyAlignment="1">
      <alignment horizontal="center" vertical="center" wrapText="1"/>
    </xf>
    <xf numFmtId="3" fontId="46" fillId="33" borderId="14" xfId="0" applyNumberFormat="1" applyFont="1" applyFill="1" applyBorder="1" applyAlignment="1">
      <alignment horizontal="center" vertical="center" wrapText="1"/>
    </xf>
    <xf numFmtId="3" fontId="46" fillId="33" borderId="15" xfId="0" applyNumberFormat="1" applyFont="1" applyFill="1" applyBorder="1" applyAlignment="1">
      <alignment horizontal="center" vertical="center" wrapText="1"/>
    </xf>
    <xf numFmtId="3" fontId="46" fillId="33" borderId="16" xfId="0" applyNumberFormat="1" applyFont="1" applyFill="1" applyBorder="1" applyAlignment="1">
      <alignment horizontal="center" vertical="center" wrapText="1"/>
    </xf>
    <xf numFmtId="0" fontId="46" fillId="0" borderId="17" xfId="0" applyFont="1" applyBorder="1" applyAlignment="1">
      <alignment horizontal="center" vertical="center" wrapText="1"/>
    </xf>
    <xf numFmtId="0" fontId="46" fillId="0" borderId="33" xfId="0" applyFont="1" applyBorder="1" applyAlignment="1">
      <alignment horizontal="center" vertical="center" wrapText="1"/>
    </xf>
    <xf numFmtId="0" fontId="46" fillId="0" borderId="18" xfId="0" applyFont="1" applyBorder="1" applyAlignment="1">
      <alignment horizontal="center" vertical="center" wrapText="1"/>
    </xf>
    <xf numFmtId="0" fontId="5" fillId="0" borderId="0" xfId="0" applyFont="1" applyAlignment="1">
      <alignment horizontal="center" vertical="center"/>
    </xf>
    <xf numFmtId="0" fontId="10" fillId="33"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3" fontId="46" fillId="33" borderId="31" xfId="0" applyNumberFormat="1" applyFont="1" applyFill="1" applyBorder="1" applyAlignment="1">
      <alignment horizontal="center" vertical="center" wrapText="1"/>
    </xf>
    <xf numFmtId="3" fontId="46" fillId="33" borderId="32" xfId="0" applyNumberFormat="1" applyFont="1" applyFill="1" applyBorder="1" applyAlignment="1">
      <alignment horizontal="center" vertical="center" wrapText="1"/>
    </xf>
    <xf numFmtId="3" fontId="46" fillId="33" borderId="30" xfId="0" applyNumberFormat="1" applyFont="1" applyFill="1" applyBorder="1" applyAlignment="1">
      <alignment horizontal="center" vertical="center" wrapText="1"/>
    </xf>
    <xf numFmtId="3" fontId="46" fillId="33" borderId="19" xfId="0" applyNumberFormat="1" applyFont="1" applyFill="1" applyBorder="1" applyAlignment="1">
      <alignment horizontal="center" vertical="center" wrapText="1"/>
    </xf>
    <xf numFmtId="3" fontId="46" fillId="33" borderId="40" xfId="0" applyNumberFormat="1" applyFont="1" applyFill="1" applyBorder="1" applyAlignment="1">
      <alignment horizontal="center" vertical="center" wrapText="1"/>
    </xf>
    <xf numFmtId="3" fontId="46" fillId="33" borderId="41" xfId="0" applyNumberFormat="1" applyFont="1" applyFill="1" applyBorder="1" applyAlignment="1">
      <alignment horizontal="center" vertical="center" wrapText="1"/>
    </xf>
    <xf numFmtId="0" fontId="50" fillId="33" borderId="10" xfId="0" applyFont="1" applyFill="1" applyBorder="1" applyAlignment="1">
      <alignment horizontal="center" vertical="center" wrapText="1"/>
    </xf>
    <xf numFmtId="3" fontId="46" fillId="39" borderId="17" xfId="0" applyNumberFormat="1" applyFont="1" applyFill="1" applyBorder="1" applyAlignment="1">
      <alignment horizontal="center" vertical="center" wrapText="1"/>
    </xf>
    <xf numFmtId="3" fontId="46" fillId="39" borderId="33" xfId="0" applyNumberFormat="1" applyFont="1" applyFill="1" applyBorder="1" applyAlignment="1">
      <alignment horizontal="center" vertical="center" wrapText="1"/>
    </xf>
    <xf numFmtId="3" fontId="46" fillId="39" borderId="18" xfId="0" applyNumberFormat="1"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0" borderId="0" xfId="0" applyFont="1" applyAlignment="1">
      <alignment horizontal="center" vertical="center" wrapText="1"/>
    </xf>
    <xf numFmtId="0" fontId="21" fillId="33" borderId="18" xfId="0" applyFont="1" applyFill="1" applyBorder="1" applyAlignment="1">
      <alignment horizontal="center" vertical="center"/>
    </xf>
    <xf numFmtId="0" fontId="21" fillId="33" borderId="10" xfId="0" applyFont="1" applyFill="1" applyBorder="1" applyAlignment="1">
      <alignment horizontal="center" vertical="center"/>
    </xf>
    <xf numFmtId="0" fontId="21" fillId="33" borderId="10" xfId="0" applyFont="1" applyFill="1" applyBorder="1" applyAlignment="1">
      <alignment horizontal="center" vertical="center" wrapText="1"/>
    </xf>
    <xf numFmtId="0" fontId="29" fillId="0" borderId="17"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18" xfId="0" applyFont="1" applyBorder="1" applyAlignment="1">
      <alignment horizontal="center" vertical="center" wrapText="1"/>
    </xf>
    <xf numFmtId="0" fontId="8" fillId="33" borderId="14"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6" xfId="0" applyFont="1" applyFill="1" applyBorder="1" applyAlignment="1">
      <alignment horizontal="center" vertical="center"/>
    </xf>
    <xf numFmtId="0" fontId="29" fillId="33" borderId="10" xfId="0" applyFont="1" applyFill="1" applyBorder="1" applyAlignment="1">
      <alignment horizontal="center" vertical="center" wrapText="1"/>
    </xf>
    <xf numFmtId="0" fontId="4" fillId="0" borderId="41" xfId="0" applyFont="1" applyBorder="1" applyAlignment="1">
      <alignment horizontal="left" vertical="center"/>
    </xf>
    <xf numFmtId="0" fontId="4" fillId="0" borderId="16" xfId="0" applyFont="1" applyBorder="1" applyAlignment="1">
      <alignment horizontal="left" vertical="center"/>
    </xf>
    <xf numFmtId="0" fontId="4" fillId="33" borderId="10" xfId="0" applyFont="1" applyFill="1" applyBorder="1" applyAlignment="1">
      <alignment horizontal="center" vertical="center"/>
    </xf>
    <xf numFmtId="3" fontId="4" fillId="33" borderId="10" xfId="0" applyNumberFormat="1" applyFont="1" applyFill="1" applyBorder="1" applyAlignment="1">
      <alignment horizontal="center" vertical="center" wrapText="1"/>
    </xf>
    <xf numFmtId="0" fontId="31" fillId="33" borderId="10" xfId="0" applyFont="1" applyFill="1" applyBorder="1" applyAlignment="1">
      <alignment horizontal="center" vertical="center"/>
    </xf>
    <xf numFmtId="3" fontId="21" fillId="33" borderId="10" xfId="0" applyNumberFormat="1" applyFont="1" applyFill="1" applyBorder="1" applyAlignment="1">
      <alignment horizontal="center" vertical="center" wrapText="1"/>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4" fillId="33" borderId="18" xfId="0" applyFont="1" applyFill="1" applyBorder="1" applyAlignment="1">
      <alignment horizontal="center" vertical="center"/>
    </xf>
    <xf numFmtId="0" fontId="65" fillId="0" borderId="0" xfId="0" applyFont="1" applyBorder="1" applyAlignment="1">
      <alignment horizontal="center"/>
    </xf>
    <xf numFmtId="0" fontId="65" fillId="0" borderId="39" xfId="0" applyFont="1" applyBorder="1" applyAlignment="1">
      <alignment horizontal="center"/>
    </xf>
    <xf numFmtId="0" fontId="65" fillId="0" borderId="0" xfId="0" applyFont="1" applyBorder="1" applyAlignment="1">
      <alignment horizontal="center" wrapText="1"/>
    </xf>
    <xf numFmtId="0" fontId="65" fillId="0" borderId="39" xfId="0" applyFont="1" applyBorder="1" applyAlignment="1">
      <alignment horizontal="center" wrapText="1"/>
    </xf>
    <xf numFmtId="0" fontId="17" fillId="0" borderId="0" xfId="52" applyFont="1" applyAlignment="1">
      <alignment horizontal="center"/>
      <protection/>
    </xf>
    <xf numFmtId="0" fontId="10" fillId="33" borderId="10" xfId="52" applyFont="1" applyFill="1" applyBorder="1" applyAlignment="1">
      <alignment horizontal="center" vertical="center"/>
      <protection/>
    </xf>
    <xf numFmtId="0" fontId="10" fillId="33" borderId="10" xfId="52" applyFont="1" applyFill="1" applyBorder="1" applyAlignment="1">
      <alignment horizontal="center" vertical="center" wrapText="1"/>
      <protection/>
    </xf>
    <xf numFmtId="0" fontId="30" fillId="33" borderId="10" xfId="52" applyFont="1" applyFill="1" applyBorder="1" applyAlignment="1">
      <alignment horizontal="center" vertical="center" wrapText="1"/>
      <protection/>
    </xf>
    <xf numFmtId="0" fontId="11" fillId="0" borderId="24" xfId="52" applyFont="1" applyBorder="1" applyAlignment="1">
      <alignment horizontal="center" vertical="center"/>
      <protection/>
    </xf>
    <xf numFmtId="0" fontId="11" fillId="0" borderId="12" xfId="52" applyFont="1" applyBorder="1" applyAlignment="1">
      <alignment horizontal="center" vertical="center"/>
      <protection/>
    </xf>
    <xf numFmtId="0" fontId="38" fillId="0" borderId="42" xfId="0" applyFont="1" applyBorder="1" applyAlignment="1">
      <alignment horizontal="center" wrapText="1"/>
    </xf>
    <xf numFmtId="0" fontId="38" fillId="0" borderId="0" xfId="0" applyFont="1" applyBorder="1" applyAlignment="1">
      <alignment horizontal="center" wrapText="1"/>
    </xf>
    <xf numFmtId="0" fontId="38" fillId="0" borderId="39" xfId="0" applyFont="1" applyBorder="1" applyAlignment="1">
      <alignment horizontal="center" wrapText="1"/>
    </xf>
    <xf numFmtId="0" fontId="38" fillId="0" borderId="19" xfId="0" applyFont="1" applyBorder="1" applyAlignment="1">
      <alignment horizontal="center" wrapText="1"/>
    </xf>
    <xf numFmtId="0" fontId="38" fillId="0" borderId="40" xfId="0" applyFont="1" applyBorder="1" applyAlignment="1">
      <alignment horizontal="center" wrapText="1"/>
    </xf>
    <xf numFmtId="0" fontId="38" fillId="0" borderId="41" xfId="0" applyFont="1" applyBorder="1" applyAlignment="1">
      <alignment horizontal="center" wrapText="1"/>
    </xf>
    <xf numFmtId="0" fontId="10" fillId="35" borderId="31" xfId="52" applyFont="1" applyFill="1" applyBorder="1" applyAlignment="1">
      <alignment horizontal="center"/>
      <protection/>
    </xf>
    <xf numFmtId="0" fontId="10" fillId="35" borderId="30" xfId="52" applyFont="1" applyFill="1" applyBorder="1" applyAlignment="1">
      <alignment horizontal="center"/>
      <protection/>
    </xf>
    <xf numFmtId="0" fontId="17" fillId="0" borderId="10" xfId="0" applyFont="1" applyBorder="1" applyAlignment="1">
      <alignment horizontal="center" wrapText="1"/>
    </xf>
    <xf numFmtId="0" fontId="38" fillId="0" borderId="31" xfId="0" applyFont="1" applyBorder="1" applyAlignment="1">
      <alignment horizontal="center" wrapText="1"/>
    </xf>
    <xf numFmtId="0" fontId="38" fillId="0" borderId="32" xfId="0" applyFont="1" applyBorder="1" applyAlignment="1">
      <alignment horizontal="center" wrapText="1"/>
    </xf>
    <xf numFmtId="0" fontId="38" fillId="0" borderId="30" xfId="0" applyFont="1" applyBorder="1" applyAlignment="1">
      <alignment horizontal="center" wrapText="1"/>
    </xf>
    <xf numFmtId="0" fontId="48" fillId="0" borderId="31" xfId="0" applyFont="1" applyBorder="1" applyAlignment="1">
      <alignment horizontal="center"/>
    </xf>
    <xf numFmtId="0" fontId="48" fillId="0" borderId="32" xfId="0" applyFont="1" applyBorder="1" applyAlignment="1">
      <alignment horizontal="center"/>
    </xf>
    <xf numFmtId="0" fontId="48" fillId="0" borderId="30" xfId="0" applyFont="1" applyBorder="1" applyAlignment="1">
      <alignment horizontal="center"/>
    </xf>
    <xf numFmtId="0" fontId="48" fillId="0" borderId="42" xfId="0" applyFont="1" applyBorder="1" applyAlignment="1">
      <alignment horizontal="center"/>
    </xf>
    <xf numFmtId="0" fontId="48" fillId="0" borderId="0" xfId="0" applyFont="1" applyBorder="1" applyAlignment="1">
      <alignment horizontal="center"/>
    </xf>
    <xf numFmtId="0" fontId="48" fillId="0" borderId="39" xfId="0" applyFont="1" applyBorder="1" applyAlignment="1">
      <alignment horizontal="center"/>
    </xf>
    <xf numFmtId="0" fontId="48" fillId="0" borderId="19" xfId="0" applyFont="1" applyBorder="1" applyAlignment="1">
      <alignment horizontal="center"/>
    </xf>
    <xf numFmtId="0" fontId="48" fillId="0" borderId="40" xfId="0" applyFont="1" applyBorder="1" applyAlignment="1">
      <alignment horizontal="center"/>
    </xf>
    <xf numFmtId="0" fontId="48" fillId="0" borderId="41" xfId="0" applyFont="1" applyBorder="1" applyAlignment="1">
      <alignment horizontal="center"/>
    </xf>
    <xf numFmtId="0" fontId="17" fillId="0" borderId="17" xfId="0" applyFont="1" applyBorder="1" applyAlignment="1">
      <alignment horizontal="center" wrapText="1"/>
    </xf>
    <xf numFmtId="0" fontId="17" fillId="0" borderId="33" xfId="0" applyFont="1" applyBorder="1" applyAlignment="1">
      <alignment horizontal="center" wrapText="1"/>
    </xf>
    <xf numFmtId="0" fontId="17" fillId="0" borderId="18" xfId="0" applyFont="1" applyBorder="1" applyAlignment="1">
      <alignment horizontal="center" wrapText="1"/>
    </xf>
    <xf numFmtId="0" fontId="10" fillId="0" borderId="10" xfId="52" applyFont="1" applyBorder="1" applyAlignment="1">
      <alignment horizontal="center"/>
      <protection/>
    </xf>
    <xf numFmtId="0" fontId="10" fillId="35" borderId="10" xfId="52" applyFont="1" applyFill="1" applyBorder="1" applyAlignment="1">
      <alignment horizontal="center"/>
      <protection/>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2" fillId="0" borderId="17" xfId="0" applyFont="1" applyBorder="1" applyAlignment="1">
      <alignment horizontal="center" vertical="center"/>
    </xf>
    <xf numFmtId="0" fontId="2" fillId="0" borderId="33" xfId="0" applyFont="1" applyBorder="1" applyAlignment="1">
      <alignment horizontal="center" vertical="center"/>
    </xf>
    <xf numFmtId="3" fontId="2" fillId="0" borderId="17" xfId="0" applyNumberFormat="1" applyFont="1" applyBorder="1" applyAlignment="1">
      <alignment horizontal="center" vertical="center"/>
    </xf>
    <xf numFmtId="3" fontId="2" fillId="0" borderId="33" xfId="0" applyNumberFormat="1" applyFont="1" applyBorder="1" applyAlignment="1">
      <alignment horizontal="center" vertical="center"/>
    </xf>
    <xf numFmtId="3" fontId="2" fillId="0" borderId="18" xfId="0" applyNumberFormat="1" applyFont="1" applyBorder="1" applyAlignment="1">
      <alignment horizontal="center" vertical="center"/>
    </xf>
    <xf numFmtId="0" fontId="4" fillId="33" borderId="17"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18" xfId="0" applyFont="1" applyFill="1" applyBorder="1" applyAlignment="1">
      <alignment horizontal="center" vertical="center"/>
    </xf>
    <xf numFmtId="0" fontId="4" fillId="35" borderId="10" xfId="0" applyFont="1" applyFill="1" applyBorder="1" applyAlignment="1">
      <alignment horizontal="center" vertical="center"/>
    </xf>
    <xf numFmtId="0" fontId="13" fillId="0" borderId="0" xfId="0" applyFont="1" applyAlignment="1">
      <alignment horizontal="center" vertical="center"/>
    </xf>
    <xf numFmtId="0" fontId="4" fillId="33" borderId="17"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3" fillId="0" borderId="0" xfId="0" applyFont="1" applyAlignment="1">
      <alignment horizontal="center" vertical="center" wrapText="1"/>
    </xf>
    <xf numFmtId="0" fontId="4" fillId="0" borderId="17" xfId="0" applyFont="1" applyBorder="1" applyAlignment="1">
      <alignment horizontal="center" vertical="center"/>
    </xf>
    <xf numFmtId="0" fontId="4" fillId="0" borderId="33" xfId="0" applyFont="1" applyBorder="1" applyAlignment="1">
      <alignment horizontal="center" vertical="center"/>
    </xf>
    <xf numFmtId="0" fontId="4" fillId="0" borderId="18" xfId="0" applyFont="1" applyBorder="1" applyAlignment="1">
      <alignment horizontal="center" vertical="center"/>
    </xf>
    <xf numFmtId="0" fontId="0" fillId="0" borderId="10" xfId="0" applyBorder="1" applyAlignment="1">
      <alignment horizontal="center" wrapText="1"/>
    </xf>
    <xf numFmtId="4" fontId="0" fillId="0" borderId="17" xfId="0" applyNumberFormat="1" applyBorder="1" applyAlignment="1">
      <alignment horizontal="center"/>
    </xf>
    <xf numFmtId="4" fontId="55" fillId="0" borderId="33" xfId="0" applyNumberFormat="1" applyFont="1" applyBorder="1" applyAlignment="1">
      <alignment horizontal="center"/>
    </xf>
    <xf numFmtId="4" fontId="55" fillId="0" borderId="18" xfId="0" applyNumberFormat="1" applyFont="1" applyBorder="1" applyAlignment="1">
      <alignment horizontal="center"/>
    </xf>
    <xf numFmtId="3" fontId="0" fillId="0" borderId="31" xfId="0" applyNumberFormat="1" applyBorder="1" applyAlignment="1">
      <alignment horizontal="center" wrapText="1"/>
    </xf>
    <xf numFmtId="3" fontId="0" fillId="0" borderId="30" xfId="0" applyNumberFormat="1" applyBorder="1" applyAlignment="1">
      <alignment horizontal="center" wrapText="1"/>
    </xf>
    <xf numFmtId="3" fontId="0" fillId="0" borderId="19" xfId="0" applyNumberFormat="1" applyBorder="1" applyAlignment="1">
      <alignment horizontal="center" wrapText="1"/>
    </xf>
    <xf numFmtId="3" fontId="0" fillId="0" borderId="41" xfId="0" applyNumberFormat="1" applyBorder="1" applyAlignment="1">
      <alignment horizontal="center" wrapText="1"/>
    </xf>
    <xf numFmtId="0" fontId="3" fillId="0" borderId="0" xfId="0" applyFont="1" applyAlignment="1">
      <alignment horizontal="center" vertical="center"/>
    </xf>
    <xf numFmtId="0" fontId="14" fillId="0" borderId="10" xfId="0" applyFont="1" applyBorder="1" applyAlignment="1">
      <alignment horizontal="center" vertical="top"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4" xfId="0" applyFont="1" applyBorder="1" applyAlignment="1">
      <alignment horizontal="center" vertical="top" wrapText="1"/>
    </xf>
    <xf numFmtId="0" fontId="14" fillId="0" borderId="15" xfId="0" applyFont="1" applyBorder="1" applyAlignment="1">
      <alignment horizontal="center" vertical="top" wrapText="1"/>
    </xf>
    <xf numFmtId="0" fontId="14" fillId="0" borderId="16" xfId="0" applyFont="1" applyBorder="1" applyAlignment="1">
      <alignment horizontal="center" vertical="top" wrapText="1"/>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0" fontId="3" fillId="35" borderId="0" xfId="0" applyFont="1" applyFill="1" applyAlignment="1">
      <alignment horizontal="center" vertical="center"/>
    </xf>
    <xf numFmtId="0" fontId="17" fillId="33" borderId="10"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7" fillId="33" borderId="16" xfId="0" applyFont="1" applyFill="1" applyBorder="1" applyAlignment="1">
      <alignment horizontal="center"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l_Szczecin"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STAROS~1\USTAWI~1\Temp\Bud&#380;et%202010\BUD&#379;ET%201-17-2010%20-%20AN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1-DO UCHWAŁY "/>
      <sheetName val="2"/>
      <sheetName val="2-do uchwały "/>
      <sheetName val="3"/>
      <sheetName val="3a"/>
      <sheetName val="4"/>
      <sheetName val="5"/>
      <sheetName val="6"/>
      <sheetName val="7"/>
      <sheetName val="8"/>
      <sheetName val="9"/>
      <sheetName val="10"/>
      <sheetName val="11"/>
      <sheetName val="12"/>
      <sheetName val="13  do  uchwały"/>
      <sheetName val="13"/>
      <sheetName val="14"/>
      <sheetName val="14-do uchwały"/>
      <sheetName val="15"/>
      <sheetName val="17"/>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89"/>
  <sheetViews>
    <sheetView zoomScale="75" zoomScaleNormal="75" zoomScalePageLayoutView="0" workbookViewId="0" topLeftCell="A150">
      <selection activeCell="G160" sqref="G160"/>
    </sheetView>
  </sheetViews>
  <sheetFormatPr defaultColWidth="9.00390625" defaultRowHeight="12.75"/>
  <cols>
    <col min="1" max="1" width="7.125" style="282" customWidth="1"/>
    <col min="2" max="2" width="7.25390625" style="406" customWidth="1"/>
    <col min="3" max="3" width="7.125" style="282" bestFit="1" customWidth="1"/>
    <col min="4" max="4" width="34.375" style="282" customWidth="1"/>
    <col min="5" max="5" width="14.125" style="282" customWidth="1"/>
    <col min="6" max="6" width="14.625" style="282" customWidth="1"/>
    <col min="7" max="7" width="12.875" style="282" customWidth="1"/>
    <col min="8" max="16384" width="9.125" style="282" customWidth="1"/>
  </cols>
  <sheetData>
    <row r="1" spans="2:5" ht="15.75">
      <c r="B1" s="711" t="s">
        <v>145</v>
      </c>
      <c r="C1" s="711"/>
      <c r="D1" s="711"/>
      <c r="E1" s="711"/>
    </row>
    <row r="2" spans="2:7" ht="15.75">
      <c r="B2" s="405"/>
      <c r="C2" s="283"/>
      <c r="D2" s="283"/>
      <c r="E2" s="284"/>
      <c r="F2" s="284"/>
      <c r="G2" s="284"/>
    </row>
    <row r="3" spans="5:7" ht="15">
      <c r="E3" s="285" t="s">
        <v>719</v>
      </c>
      <c r="F3" s="285"/>
      <c r="G3" s="285"/>
    </row>
    <row r="4" spans="1:7" ht="15" customHeight="1">
      <c r="A4" s="712" t="s">
        <v>665</v>
      </c>
      <c r="B4" s="714" t="s">
        <v>666</v>
      </c>
      <c r="C4" s="712" t="s">
        <v>667</v>
      </c>
      <c r="D4" s="712" t="s">
        <v>787</v>
      </c>
      <c r="E4" s="702" t="s">
        <v>144</v>
      </c>
      <c r="F4" s="703"/>
      <c r="G4" s="704"/>
    </row>
    <row r="5" spans="1:7" ht="15" customHeight="1">
      <c r="A5" s="713"/>
      <c r="B5" s="715"/>
      <c r="C5" s="716"/>
      <c r="D5" s="716"/>
      <c r="E5" s="705"/>
      <c r="F5" s="706"/>
      <c r="G5" s="707"/>
    </row>
    <row r="6" spans="1:7" ht="15" customHeight="1">
      <c r="A6" s="286"/>
      <c r="B6" s="407"/>
      <c r="C6" s="288"/>
      <c r="D6" s="288"/>
      <c r="E6" s="708" t="s">
        <v>40</v>
      </c>
      <c r="F6" s="709"/>
      <c r="G6" s="710"/>
    </row>
    <row r="7" spans="1:7" ht="63">
      <c r="A7" s="286"/>
      <c r="B7" s="407"/>
      <c r="C7" s="287"/>
      <c r="D7" s="294" t="s">
        <v>307</v>
      </c>
      <c r="E7" s="289" t="s">
        <v>131</v>
      </c>
      <c r="F7" s="289" t="s">
        <v>38</v>
      </c>
      <c r="G7" s="289" t="s">
        <v>39</v>
      </c>
    </row>
    <row r="8" spans="1:7" s="292" customFormat="1" ht="15">
      <c r="A8" s="290">
        <v>1</v>
      </c>
      <c r="B8" s="408">
        <v>2</v>
      </c>
      <c r="C8" s="290">
        <v>3</v>
      </c>
      <c r="D8" s="290">
        <v>4</v>
      </c>
      <c r="E8" s="291">
        <v>5</v>
      </c>
      <c r="F8" s="291">
        <v>6</v>
      </c>
      <c r="G8" s="291">
        <v>7</v>
      </c>
    </row>
    <row r="9" spans="1:7" ht="15.75">
      <c r="A9" s="293" t="s">
        <v>304</v>
      </c>
      <c r="B9" s="409" t="s">
        <v>305</v>
      </c>
      <c r="C9" s="293" t="s">
        <v>306</v>
      </c>
      <c r="E9" s="295"/>
      <c r="F9" s="295"/>
      <c r="G9" s="295"/>
    </row>
    <row r="10" spans="1:7" s="299" customFormat="1" ht="19.5" customHeight="1">
      <c r="A10" s="296" t="s">
        <v>86</v>
      </c>
      <c r="B10" s="410"/>
      <c r="C10" s="296"/>
      <c r="D10" s="297" t="s">
        <v>87</v>
      </c>
      <c r="E10" s="487">
        <f>E11+E13</f>
        <v>25850</v>
      </c>
      <c r="F10" s="298">
        <f>F11+F13</f>
        <v>25850</v>
      </c>
      <c r="G10" s="298">
        <f>G11+G13</f>
        <v>0</v>
      </c>
    </row>
    <row r="11" spans="1:7" s="303" customFormat="1" ht="31.5">
      <c r="A11" s="300"/>
      <c r="B11" s="411" t="s">
        <v>88</v>
      </c>
      <c r="C11" s="300"/>
      <c r="D11" s="301" t="s">
        <v>308</v>
      </c>
      <c r="E11" s="488">
        <f>E12</f>
        <v>25000</v>
      </c>
      <c r="F11" s="302">
        <f>F12</f>
        <v>25000</v>
      </c>
      <c r="G11" s="302">
        <f>G12</f>
        <v>0</v>
      </c>
    </row>
    <row r="12" spans="1:7" s="307" customFormat="1" ht="90.75">
      <c r="A12" s="304"/>
      <c r="B12" s="412"/>
      <c r="C12" s="304">
        <v>2110</v>
      </c>
      <c r="D12" s="305" t="s">
        <v>309</v>
      </c>
      <c r="E12" s="489">
        <f>F12+G12</f>
        <v>25000</v>
      </c>
      <c r="F12" s="306">
        <v>25000</v>
      </c>
      <c r="G12" s="306"/>
    </row>
    <row r="13" spans="1:7" s="307" customFormat="1" ht="15.75">
      <c r="A13" s="336"/>
      <c r="B13" s="413" t="s">
        <v>310</v>
      </c>
      <c r="C13" s="336"/>
      <c r="D13" s="337" t="s">
        <v>439</v>
      </c>
      <c r="E13" s="490">
        <f>SUM(E14)</f>
        <v>850</v>
      </c>
      <c r="F13" s="315">
        <f>SUM(F14)</f>
        <v>850</v>
      </c>
      <c r="G13" s="315">
        <f>SUM(G14)</f>
        <v>0</v>
      </c>
    </row>
    <row r="14" spans="1:7" ht="90">
      <c r="A14" s="304"/>
      <c r="B14" s="412"/>
      <c r="C14" s="304">
        <v>2360</v>
      </c>
      <c r="D14" s="305" t="s">
        <v>311</v>
      </c>
      <c r="E14" s="489">
        <f>F14+G14</f>
        <v>850</v>
      </c>
      <c r="F14" s="322">
        <v>850</v>
      </c>
      <c r="G14" s="322"/>
    </row>
    <row r="15" spans="1:7" s="299" customFormat="1" ht="15.75">
      <c r="A15" s="296" t="s">
        <v>91</v>
      </c>
      <c r="B15" s="410"/>
      <c r="C15" s="296"/>
      <c r="D15" s="297" t="s">
        <v>92</v>
      </c>
      <c r="E15" s="487">
        <f aca="true" t="shared" si="0" ref="E15:G16">E16</f>
        <v>285000</v>
      </c>
      <c r="F15" s="298">
        <f t="shared" si="0"/>
        <v>285000</v>
      </c>
      <c r="G15" s="298">
        <f t="shared" si="0"/>
        <v>0</v>
      </c>
    </row>
    <row r="16" spans="1:7" s="303" customFormat="1" ht="15.75">
      <c r="A16" s="296"/>
      <c r="B16" s="411" t="s">
        <v>93</v>
      </c>
      <c r="C16" s="300"/>
      <c r="D16" s="301" t="s">
        <v>94</v>
      </c>
      <c r="E16" s="488">
        <f t="shared" si="0"/>
        <v>285000</v>
      </c>
      <c r="F16" s="302">
        <f t="shared" si="0"/>
        <v>285000</v>
      </c>
      <c r="G16" s="302">
        <f t="shared" si="0"/>
        <v>0</v>
      </c>
    </row>
    <row r="17" spans="1:7" ht="90">
      <c r="A17" s="304"/>
      <c r="B17" s="412"/>
      <c r="C17" s="308">
        <v>2700</v>
      </c>
      <c r="D17" s="305" t="s">
        <v>41</v>
      </c>
      <c r="E17" s="489">
        <f>F17+G17</f>
        <v>285000</v>
      </c>
      <c r="F17" s="295">
        <v>285000</v>
      </c>
      <c r="G17" s="295"/>
    </row>
    <row r="18" spans="1:7" ht="15.75">
      <c r="A18" s="309">
        <v>600</v>
      </c>
      <c r="B18" s="414"/>
      <c r="C18" s="310"/>
      <c r="D18" s="311" t="s">
        <v>99</v>
      </c>
      <c r="E18" s="491">
        <f>SUM(E19)</f>
        <v>3926458</v>
      </c>
      <c r="F18" s="312">
        <f>SUM(F19)</f>
        <v>0</v>
      </c>
      <c r="G18" s="295">
        <f>SUM(G19)</f>
        <v>3926458</v>
      </c>
    </row>
    <row r="19" spans="1:7" ht="15.75">
      <c r="A19" s="313"/>
      <c r="B19" s="415">
        <v>60014</v>
      </c>
      <c r="C19" s="314"/>
      <c r="D19" s="262" t="s">
        <v>100</v>
      </c>
      <c r="E19" s="490">
        <f>SUM(E21:E28)</f>
        <v>3926458</v>
      </c>
      <c r="F19" s="315">
        <f>SUM(F20:F28)</f>
        <v>0</v>
      </c>
      <c r="G19" s="315">
        <f>SUM(G20:G28)</f>
        <v>3926458</v>
      </c>
    </row>
    <row r="20" spans="1:7" ht="90" hidden="1">
      <c r="A20" s="316"/>
      <c r="B20" s="416"/>
      <c r="C20" s="317">
        <v>2310</v>
      </c>
      <c r="D20" s="318" t="s">
        <v>645</v>
      </c>
      <c r="E20" s="489">
        <f>F20+G20</f>
        <v>0</v>
      </c>
      <c r="F20" s="295"/>
      <c r="G20" s="295"/>
    </row>
    <row r="21" spans="1:7" ht="15.75" hidden="1">
      <c r="A21" s="304"/>
      <c r="B21" s="412"/>
      <c r="C21" s="342">
        <v>6208</v>
      </c>
      <c r="D21" s="343" t="s">
        <v>629</v>
      </c>
      <c r="E21" s="489">
        <f>F21+G21</f>
        <v>0</v>
      </c>
      <c r="F21" s="244"/>
      <c r="G21" s="322"/>
    </row>
    <row r="22" spans="1:7" ht="15.75" hidden="1">
      <c r="A22" s="304"/>
      <c r="B22" s="412"/>
      <c r="C22" s="344">
        <v>6209</v>
      </c>
      <c r="D22" s="343" t="s">
        <v>628</v>
      </c>
      <c r="E22" s="489">
        <f>F22+G22</f>
        <v>0</v>
      </c>
      <c r="F22" s="244"/>
      <c r="G22" s="322"/>
    </row>
    <row r="23" spans="1:7" ht="15" hidden="1">
      <c r="A23" s="316"/>
      <c r="B23" s="416"/>
      <c r="C23" s="317"/>
      <c r="D23" s="350"/>
      <c r="E23" s="489"/>
      <c r="F23" s="295"/>
      <c r="G23" s="295"/>
    </row>
    <row r="24" spans="1:7" ht="56.25">
      <c r="A24" s="316"/>
      <c r="B24" s="416"/>
      <c r="C24" s="421">
        <v>6290</v>
      </c>
      <c r="D24" s="65" t="s">
        <v>166</v>
      </c>
      <c r="E24" s="489">
        <f>F24+G24</f>
        <v>0</v>
      </c>
      <c r="F24" s="295"/>
      <c r="G24" s="65"/>
    </row>
    <row r="25" spans="1:7" ht="76.5">
      <c r="A25" s="316"/>
      <c r="B25" s="416"/>
      <c r="C25" s="463">
        <v>6300</v>
      </c>
      <c r="D25" s="64" t="s">
        <v>182</v>
      </c>
      <c r="E25" s="489">
        <f>F25+G25</f>
        <v>690757</v>
      </c>
      <c r="F25" s="295"/>
      <c r="G25" s="537">
        <v>690757</v>
      </c>
    </row>
    <row r="26" spans="1:8" ht="90.75">
      <c r="A26" s="316"/>
      <c r="B26" s="416"/>
      <c r="C26" s="317">
        <v>6610</v>
      </c>
      <c r="D26" s="319" t="s">
        <v>617</v>
      </c>
      <c r="E26" s="489">
        <f>F26+G26</f>
        <v>631757</v>
      </c>
      <c r="F26" s="320"/>
      <c r="G26" s="537">
        <v>631757</v>
      </c>
      <c r="H26" s="321"/>
    </row>
    <row r="27" spans="1:8" ht="90.75" hidden="1">
      <c r="A27" s="316"/>
      <c r="B27" s="416"/>
      <c r="C27" s="317">
        <v>6610</v>
      </c>
      <c r="D27" s="318" t="s">
        <v>617</v>
      </c>
      <c r="E27" s="489">
        <f>F27+G27</f>
        <v>0</v>
      </c>
      <c r="F27" s="320"/>
      <c r="G27" s="320"/>
      <c r="H27" s="321"/>
    </row>
    <row r="28" spans="1:8" ht="34.5">
      <c r="A28" s="316"/>
      <c r="B28" s="416"/>
      <c r="C28" s="421">
        <v>6430</v>
      </c>
      <c r="D28" s="422" t="s">
        <v>799</v>
      </c>
      <c r="E28" s="489">
        <f>F28+G28</f>
        <v>2603944</v>
      </c>
      <c r="F28" s="320"/>
      <c r="G28" s="320">
        <f>4364500-1760556</f>
        <v>2603944</v>
      </c>
      <c r="H28" s="321"/>
    </row>
    <row r="29" spans="1:7" s="299" customFormat="1" ht="31.5">
      <c r="A29" s="296">
        <v>700</v>
      </c>
      <c r="B29" s="410"/>
      <c r="C29" s="296"/>
      <c r="D29" s="297" t="s">
        <v>122</v>
      </c>
      <c r="E29" s="487">
        <f>SUM(E30)</f>
        <v>1960375</v>
      </c>
      <c r="F29" s="298">
        <f>F30</f>
        <v>1960375</v>
      </c>
      <c r="G29" s="298">
        <f>G30</f>
        <v>0</v>
      </c>
    </row>
    <row r="30" spans="1:7" s="303" customFormat="1" ht="31.5">
      <c r="A30" s="300"/>
      <c r="B30" s="411">
        <v>70005</v>
      </c>
      <c r="C30" s="300"/>
      <c r="D30" s="301" t="s">
        <v>123</v>
      </c>
      <c r="E30" s="488">
        <f>SUM(E31:E35)</f>
        <v>1960375</v>
      </c>
      <c r="F30" s="302">
        <f>SUM(F31:F35)</f>
        <v>1960375</v>
      </c>
      <c r="G30" s="302">
        <f>SUM(G31:G35)</f>
        <v>0</v>
      </c>
    </row>
    <row r="31" spans="1:7" ht="120">
      <c r="A31" s="304"/>
      <c r="B31" s="412"/>
      <c r="C31" s="304" t="s">
        <v>313</v>
      </c>
      <c r="D31" s="305" t="s">
        <v>314</v>
      </c>
      <c r="E31" s="489">
        <f>F31+G31</f>
        <v>1540300</v>
      </c>
      <c r="F31" s="322">
        <v>1540300</v>
      </c>
      <c r="G31" s="322"/>
    </row>
    <row r="32" spans="1:7" ht="90">
      <c r="A32" s="304"/>
      <c r="B32" s="412"/>
      <c r="C32" s="304">
        <v>2110</v>
      </c>
      <c r="D32" s="305" t="s">
        <v>309</v>
      </c>
      <c r="E32" s="489">
        <f>F32+G32</f>
        <v>141200</v>
      </c>
      <c r="F32" s="322">
        <v>141200</v>
      </c>
      <c r="G32" s="322"/>
    </row>
    <row r="33" spans="1:7" ht="90">
      <c r="A33" s="304"/>
      <c r="B33" s="412"/>
      <c r="C33" s="304">
        <v>2360</v>
      </c>
      <c r="D33" s="305" t="s">
        <v>311</v>
      </c>
      <c r="E33" s="489">
        <f>F33+G33</f>
        <v>182242</v>
      </c>
      <c r="F33" s="322">
        <v>182242</v>
      </c>
      <c r="G33" s="322"/>
    </row>
    <row r="34" spans="1:7" ht="30">
      <c r="A34" s="304"/>
      <c r="B34" s="412"/>
      <c r="C34" s="304" t="s">
        <v>401</v>
      </c>
      <c r="D34" s="305" t="s">
        <v>440</v>
      </c>
      <c r="E34" s="489">
        <f>F34+G34</f>
        <v>65633</v>
      </c>
      <c r="F34" s="322">
        <v>65633</v>
      </c>
      <c r="G34" s="322"/>
    </row>
    <row r="35" spans="1:7" ht="15">
      <c r="A35" s="304"/>
      <c r="B35" s="412"/>
      <c r="C35" s="426" t="s">
        <v>636</v>
      </c>
      <c r="D35" s="370" t="s">
        <v>643</v>
      </c>
      <c r="E35" s="489">
        <f>F35+G35</f>
        <v>31000</v>
      </c>
      <c r="F35" s="322">
        <v>31000</v>
      </c>
      <c r="G35" s="322"/>
    </row>
    <row r="36" spans="1:7" s="299" customFormat="1" ht="15.75">
      <c r="A36" s="296">
        <v>710</v>
      </c>
      <c r="B36" s="410"/>
      <c r="C36" s="296"/>
      <c r="D36" s="297" t="s">
        <v>134</v>
      </c>
      <c r="E36" s="492">
        <f>SUM(E37+E39+E41+E44)</f>
        <v>539850</v>
      </c>
      <c r="F36" s="492">
        <f>SUM(F37+F39+F41+F44)</f>
        <v>539850</v>
      </c>
      <c r="G36" s="323">
        <f>SUM(G37+G39+G41)</f>
        <v>0</v>
      </c>
    </row>
    <row r="37" spans="1:7" s="303" customFormat="1" ht="31.5">
      <c r="A37" s="300"/>
      <c r="B37" s="411">
        <v>71013</v>
      </c>
      <c r="C37" s="300"/>
      <c r="D37" s="301" t="s">
        <v>315</v>
      </c>
      <c r="E37" s="493">
        <f>E38</f>
        <v>70000</v>
      </c>
      <c r="F37" s="324">
        <f>F38</f>
        <v>70000</v>
      </c>
      <c r="G37" s="324">
        <f>G38</f>
        <v>0</v>
      </c>
    </row>
    <row r="38" spans="1:7" ht="90">
      <c r="A38" s="304"/>
      <c r="B38" s="412"/>
      <c r="C38" s="304">
        <v>2110</v>
      </c>
      <c r="D38" s="305" t="s">
        <v>309</v>
      </c>
      <c r="E38" s="489">
        <f>F38+G38</f>
        <v>70000</v>
      </c>
      <c r="F38" s="322">
        <v>70000</v>
      </c>
      <c r="G38" s="322"/>
    </row>
    <row r="39" spans="1:7" s="303" customFormat="1" ht="31.5">
      <c r="A39" s="300"/>
      <c r="B39" s="411">
        <v>71014</v>
      </c>
      <c r="C39" s="300"/>
      <c r="D39" s="301" t="s">
        <v>316</v>
      </c>
      <c r="E39" s="493">
        <f>E40</f>
        <v>4900</v>
      </c>
      <c r="F39" s="324">
        <f>F40</f>
        <v>4900</v>
      </c>
      <c r="G39" s="324">
        <f>G40</f>
        <v>0</v>
      </c>
    </row>
    <row r="40" spans="1:7" ht="90">
      <c r="A40" s="304"/>
      <c r="B40" s="412"/>
      <c r="C40" s="304">
        <v>2110</v>
      </c>
      <c r="D40" s="305" t="s">
        <v>309</v>
      </c>
      <c r="E40" s="489">
        <f>F40+G40</f>
        <v>4900</v>
      </c>
      <c r="F40" s="322">
        <v>4900</v>
      </c>
      <c r="G40" s="322"/>
    </row>
    <row r="41" spans="1:7" s="303" customFormat="1" ht="15.75">
      <c r="A41" s="300"/>
      <c r="B41" s="411">
        <v>71015</v>
      </c>
      <c r="C41" s="300"/>
      <c r="D41" s="301" t="s">
        <v>195</v>
      </c>
      <c r="E41" s="493">
        <f>SUM(E42:E43)</f>
        <v>454950</v>
      </c>
      <c r="F41" s="493">
        <f>SUM(F42:F43)</f>
        <v>454950</v>
      </c>
      <c r="G41" s="493">
        <f>SUM(G42:G43)</f>
        <v>0</v>
      </c>
    </row>
    <row r="42" spans="1:7" ht="15">
      <c r="A42" s="331"/>
      <c r="B42" s="418"/>
      <c r="C42" s="331" t="s">
        <v>636</v>
      </c>
      <c r="D42" s="332" t="s">
        <v>469</v>
      </c>
      <c r="E42" s="496">
        <f>F42+G42</f>
        <v>1500</v>
      </c>
      <c r="F42" s="322">
        <v>1500</v>
      </c>
      <c r="G42" s="322"/>
    </row>
    <row r="43" spans="1:7" ht="90.75">
      <c r="A43" s="300"/>
      <c r="B43" s="411"/>
      <c r="C43" s="304">
        <v>2110</v>
      </c>
      <c r="D43" s="305" t="s">
        <v>309</v>
      </c>
      <c r="E43" s="489">
        <f>F43+G43</f>
        <v>453450</v>
      </c>
      <c r="F43" s="322">
        <f>453000+450</f>
        <v>453450</v>
      </c>
      <c r="G43" s="322"/>
    </row>
    <row r="44" spans="1:7" s="303" customFormat="1" ht="15.75">
      <c r="A44" s="300"/>
      <c r="B44" s="411">
        <v>71078</v>
      </c>
      <c r="C44" s="300"/>
      <c r="D44" s="614" t="s">
        <v>542</v>
      </c>
      <c r="E44" s="493">
        <f>E45</f>
        <v>10000</v>
      </c>
      <c r="F44" s="324">
        <f>F45</f>
        <v>10000</v>
      </c>
      <c r="G44" s="324">
        <f>G45</f>
        <v>0</v>
      </c>
    </row>
    <row r="45" spans="1:7" ht="90">
      <c r="A45" s="304"/>
      <c r="B45" s="412"/>
      <c r="C45" s="304">
        <v>2110</v>
      </c>
      <c r="D45" s="305" t="s">
        <v>309</v>
      </c>
      <c r="E45" s="489">
        <f>F45</f>
        <v>10000</v>
      </c>
      <c r="F45" s="322">
        <v>10000</v>
      </c>
      <c r="G45" s="322"/>
    </row>
    <row r="46" spans="1:7" s="299" customFormat="1" ht="31.5">
      <c r="A46" s="296">
        <v>750</v>
      </c>
      <c r="B46" s="410"/>
      <c r="C46" s="296"/>
      <c r="D46" s="297" t="s">
        <v>317</v>
      </c>
      <c r="E46" s="492">
        <f>SUM(E47+E49+E55)</f>
        <v>2331860</v>
      </c>
      <c r="F46" s="323">
        <f>SUM(F47+F49+F55)</f>
        <v>2331860</v>
      </c>
      <c r="G46" s="323">
        <f>SUM(G47+G49+G55)</f>
        <v>0</v>
      </c>
    </row>
    <row r="47" spans="1:7" s="303" customFormat="1" ht="15.75">
      <c r="A47" s="300"/>
      <c r="B47" s="411">
        <v>75011</v>
      </c>
      <c r="C47" s="300"/>
      <c r="D47" s="301" t="s">
        <v>318</v>
      </c>
      <c r="E47" s="493">
        <f>E48</f>
        <v>320100</v>
      </c>
      <c r="F47" s="324">
        <f>F48</f>
        <v>320100</v>
      </c>
      <c r="G47" s="324">
        <f>G48</f>
        <v>0</v>
      </c>
    </row>
    <row r="48" spans="1:7" ht="90">
      <c r="A48" s="304"/>
      <c r="B48" s="412"/>
      <c r="C48" s="304">
        <v>2110</v>
      </c>
      <c r="D48" s="305" t="s">
        <v>309</v>
      </c>
      <c r="E48" s="489">
        <f>F48+G48</f>
        <v>320100</v>
      </c>
      <c r="F48" s="322">
        <v>320100</v>
      </c>
      <c r="G48" s="322"/>
    </row>
    <row r="49" spans="1:7" s="303" customFormat="1" ht="15.75">
      <c r="A49" s="300"/>
      <c r="B49" s="411">
        <v>75020</v>
      </c>
      <c r="C49" s="300"/>
      <c r="D49" s="301" t="s">
        <v>291</v>
      </c>
      <c r="E49" s="493">
        <f>SUM(E50:E54)</f>
        <v>1953000</v>
      </c>
      <c r="F49" s="324">
        <f>SUM(F50:F54)</f>
        <v>1953000</v>
      </c>
      <c r="G49" s="324">
        <f>SUM(G50:G54)</f>
        <v>0</v>
      </c>
    </row>
    <row r="50" spans="1:7" ht="15">
      <c r="A50" s="304"/>
      <c r="B50" s="412"/>
      <c r="C50" s="304" t="s">
        <v>319</v>
      </c>
      <c r="D50" s="305" t="s">
        <v>320</v>
      </c>
      <c r="E50" s="489">
        <f>F50+G50</f>
        <v>1928000</v>
      </c>
      <c r="F50" s="322">
        <v>1928000</v>
      </c>
      <c r="G50" s="322"/>
    </row>
    <row r="51" spans="1:7" ht="30">
      <c r="A51" s="304"/>
      <c r="B51" s="412"/>
      <c r="C51" s="304" t="s">
        <v>321</v>
      </c>
      <c r="D51" s="305" t="s">
        <v>322</v>
      </c>
      <c r="E51" s="489">
        <f>F51+G51</f>
        <v>15000</v>
      </c>
      <c r="F51" s="322">
        <v>15000</v>
      </c>
      <c r="G51" s="322"/>
    </row>
    <row r="52" spans="1:7" ht="15">
      <c r="A52" s="304"/>
      <c r="B52" s="412"/>
      <c r="C52" s="304" t="s">
        <v>323</v>
      </c>
      <c r="D52" s="305" t="s">
        <v>167</v>
      </c>
      <c r="E52" s="489">
        <f>F52+G52</f>
        <v>1000</v>
      </c>
      <c r="F52" s="322">
        <v>1000</v>
      </c>
      <c r="G52" s="322"/>
    </row>
    <row r="53" spans="1:7" ht="15">
      <c r="A53" s="304"/>
      <c r="B53" s="412"/>
      <c r="C53" s="304" t="s">
        <v>641</v>
      </c>
      <c r="D53" s="305" t="s">
        <v>642</v>
      </c>
      <c r="E53" s="489">
        <f>F53+G53</f>
        <v>7000</v>
      </c>
      <c r="F53" s="322">
        <v>7000</v>
      </c>
      <c r="G53" s="322"/>
    </row>
    <row r="54" spans="1:7" ht="15">
      <c r="A54" s="304"/>
      <c r="B54" s="412"/>
      <c r="C54" s="304" t="s">
        <v>636</v>
      </c>
      <c r="D54" s="305" t="s">
        <v>637</v>
      </c>
      <c r="E54" s="489">
        <f>F54+G54</f>
        <v>2000</v>
      </c>
      <c r="F54" s="322">
        <v>2000</v>
      </c>
      <c r="G54" s="322"/>
    </row>
    <row r="55" spans="1:7" s="303" customFormat="1" ht="15.75">
      <c r="A55" s="300"/>
      <c r="B55" s="411">
        <v>75045</v>
      </c>
      <c r="C55" s="300"/>
      <c r="D55" s="301" t="s">
        <v>188</v>
      </c>
      <c r="E55" s="493">
        <f>SUM(E56:E57)</f>
        <v>58760</v>
      </c>
      <c r="F55" s="325">
        <f>E55</f>
        <v>58760</v>
      </c>
      <c r="G55" s="324">
        <f>SUM(G56:G57)</f>
        <v>0</v>
      </c>
    </row>
    <row r="56" spans="1:7" ht="90">
      <c r="A56" s="304"/>
      <c r="B56" s="412"/>
      <c r="C56" s="304">
        <v>2110</v>
      </c>
      <c r="D56" s="305" t="s">
        <v>309</v>
      </c>
      <c r="E56" s="489">
        <f>F56+G56</f>
        <v>35994</v>
      </c>
      <c r="F56" s="322">
        <v>35994</v>
      </c>
      <c r="G56" s="322"/>
    </row>
    <row r="57" spans="1:7" ht="90">
      <c r="A57" s="326"/>
      <c r="B57" s="417"/>
      <c r="C57" s="326">
        <v>2120</v>
      </c>
      <c r="D57" s="327" t="s">
        <v>325</v>
      </c>
      <c r="E57" s="489">
        <f>F57+G57</f>
        <v>22766</v>
      </c>
      <c r="F57" s="322">
        <v>22766</v>
      </c>
      <c r="G57" s="328"/>
    </row>
    <row r="58" spans="1:7" s="299" customFormat="1" ht="15.75">
      <c r="A58" s="296">
        <v>752</v>
      </c>
      <c r="B58" s="410"/>
      <c r="C58" s="296"/>
      <c r="D58" s="297" t="s">
        <v>448</v>
      </c>
      <c r="E58" s="492">
        <f>SUM(E59)</f>
        <v>3000</v>
      </c>
      <c r="F58" s="323">
        <f>SUM(F59)</f>
        <v>3000</v>
      </c>
      <c r="G58" s="323">
        <f>SUM(G59+G68+G76)</f>
        <v>0</v>
      </c>
    </row>
    <row r="59" spans="1:7" s="303" customFormat="1" ht="15.75">
      <c r="A59" s="300"/>
      <c r="B59" s="411">
        <v>75212</v>
      </c>
      <c r="C59" s="300"/>
      <c r="D59" s="301" t="s">
        <v>449</v>
      </c>
      <c r="E59" s="493">
        <f>E60</f>
        <v>3000</v>
      </c>
      <c r="F59" s="324">
        <f>F60</f>
        <v>3000</v>
      </c>
      <c r="G59" s="324">
        <f>G60</f>
        <v>0</v>
      </c>
    </row>
    <row r="60" spans="1:7" ht="90">
      <c r="A60" s="304"/>
      <c r="B60" s="412"/>
      <c r="C60" s="304">
        <v>2110</v>
      </c>
      <c r="D60" s="305" t="s">
        <v>309</v>
      </c>
      <c r="E60" s="489">
        <f>F60+G60</f>
        <v>3000</v>
      </c>
      <c r="F60" s="322">
        <v>3000</v>
      </c>
      <c r="G60" s="322"/>
    </row>
    <row r="61" spans="1:7" s="299" customFormat="1" ht="60">
      <c r="A61" s="296">
        <v>751</v>
      </c>
      <c r="B61" s="687"/>
      <c r="C61" s="688"/>
      <c r="D61" s="690" t="s">
        <v>562</v>
      </c>
      <c r="E61" s="492">
        <f>SUM(E62)</f>
        <v>24011</v>
      </c>
      <c r="F61" s="323">
        <f>SUM(F62)</f>
        <v>24011</v>
      </c>
      <c r="G61" s="323">
        <f>SUM(G62+G71+G79)</f>
        <v>0</v>
      </c>
    </row>
    <row r="62" spans="1:7" s="303" customFormat="1" ht="23.25">
      <c r="A62" s="300"/>
      <c r="B62" s="413">
        <v>75109</v>
      </c>
      <c r="C62" s="336"/>
      <c r="D62" s="689" t="s">
        <v>563</v>
      </c>
      <c r="E62" s="493">
        <f>E63</f>
        <v>24011</v>
      </c>
      <c r="F62" s="324">
        <f>F63</f>
        <v>24011</v>
      </c>
      <c r="G62" s="324">
        <f>G63</f>
        <v>0</v>
      </c>
    </row>
    <row r="63" spans="1:7" ht="90">
      <c r="A63" s="304"/>
      <c r="B63" s="412"/>
      <c r="C63" s="304">
        <v>2110</v>
      </c>
      <c r="D63" s="305" t="s">
        <v>309</v>
      </c>
      <c r="E63" s="489">
        <f>F63+G63</f>
        <v>24011</v>
      </c>
      <c r="F63" s="322">
        <v>24011</v>
      </c>
      <c r="G63" s="322"/>
    </row>
    <row r="64" spans="1:7" s="299" customFormat="1" ht="51" customHeight="1">
      <c r="A64" s="609">
        <v>754</v>
      </c>
      <c r="B64" s="609"/>
      <c r="C64" s="594"/>
      <c r="D64" s="611" t="s">
        <v>222</v>
      </c>
      <c r="E64" s="489">
        <f>F64+G64</f>
        <v>50000</v>
      </c>
      <c r="F64" s="323">
        <f>SUM(F65)</f>
        <v>41692</v>
      </c>
      <c r="G64" s="323">
        <f>SUM(G65)</f>
        <v>8308</v>
      </c>
    </row>
    <row r="65" spans="1:7" s="303" customFormat="1" ht="63" customHeight="1">
      <c r="A65" s="609"/>
      <c r="B65" s="691">
        <v>75478</v>
      </c>
      <c r="C65" s="692"/>
      <c r="D65" s="693" t="s">
        <v>564</v>
      </c>
      <c r="E65" s="489">
        <f>F65+G65</f>
        <v>50000</v>
      </c>
      <c r="F65" s="324">
        <f>F66</f>
        <v>41692</v>
      </c>
      <c r="G65" s="324">
        <f>G67</f>
        <v>8308</v>
      </c>
    </row>
    <row r="66" spans="1:7" ht="48" customHeight="1">
      <c r="A66" s="609"/>
      <c r="B66" s="694"/>
      <c r="C66" s="304">
        <v>2130</v>
      </c>
      <c r="D66" s="422" t="s">
        <v>346</v>
      </c>
      <c r="E66" s="489">
        <f>F66+G66</f>
        <v>41692</v>
      </c>
      <c r="F66" s="322">
        <v>41692</v>
      </c>
      <c r="G66" s="322"/>
    </row>
    <row r="67" spans="1:7" ht="55.5" customHeight="1">
      <c r="A67" s="609"/>
      <c r="B67" s="694"/>
      <c r="C67" s="595">
        <v>6430</v>
      </c>
      <c r="D67" s="695" t="s">
        <v>130</v>
      </c>
      <c r="E67" s="489">
        <f>F67+G67</f>
        <v>8308</v>
      </c>
      <c r="F67" s="322"/>
      <c r="G67" s="322">
        <v>8308</v>
      </c>
    </row>
    <row r="68" spans="1:7" s="329" customFormat="1" ht="94.5">
      <c r="A68" s="296">
        <v>756</v>
      </c>
      <c r="B68" s="410"/>
      <c r="C68" s="296"/>
      <c r="D68" s="297" t="s">
        <v>326</v>
      </c>
      <c r="E68" s="492">
        <f>E69+E73</f>
        <v>9790000</v>
      </c>
      <c r="F68" s="533">
        <f>F69+F73</f>
        <v>9790000</v>
      </c>
      <c r="G68" s="533">
        <f>G69+G73</f>
        <v>0</v>
      </c>
    </row>
    <row r="69" spans="1:7" s="303" customFormat="1" ht="31.5">
      <c r="A69" s="300"/>
      <c r="B69" s="411">
        <v>75622</v>
      </c>
      <c r="C69" s="300"/>
      <c r="D69" s="301" t="s">
        <v>327</v>
      </c>
      <c r="E69" s="493">
        <f>SUM(E70:E72)</f>
        <v>9710000</v>
      </c>
      <c r="F69" s="324">
        <f>SUM(F70:F72)</f>
        <v>9710000</v>
      </c>
      <c r="G69" s="324">
        <f>SUM(G70:G72)</f>
        <v>0</v>
      </c>
    </row>
    <row r="70" spans="1:7" ht="15.75">
      <c r="A70" s="300"/>
      <c r="B70" s="411"/>
      <c r="C70" s="300"/>
      <c r="D70" s="301" t="s">
        <v>328</v>
      </c>
      <c r="E70" s="494"/>
      <c r="F70" s="322"/>
      <c r="G70" s="322"/>
    </row>
    <row r="71" spans="1:7" ht="30">
      <c r="A71" s="304"/>
      <c r="B71" s="412"/>
      <c r="C71" s="304" t="s">
        <v>329</v>
      </c>
      <c r="D71" s="305" t="s">
        <v>330</v>
      </c>
      <c r="E71" s="489">
        <f>F71+G71</f>
        <v>9570000</v>
      </c>
      <c r="F71" s="322">
        <v>9570000</v>
      </c>
      <c r="G71" s="322"/>
    </row>
    <row r="72" spans="1:7" ht="30">
      <c r="A72" s="304"/>
      <c r="B72" s="412"/>
      <c r="C72" s="304" t="s">
        <v>331</v>
      </c>
      <c r="D72" s="305" t="s">
        <v>332</v>
      </c>
      <c r="E72" s="489">
        <f>F72+G72</f>
        <v>140000</v>
      </c>
      <c r="F72" s="322">
        <v>140000</v>
      </c>
      <c r="G72" s="322"/>
    </row>
    <row r="73" spans="1:7" ht="51.75">
      <c r="A73" s="304"/>
      <c r="B73" s="413">
        <v>75618</v>
      </c>
      <c r="C73" s="304"/>
      <c r="D73" s="44" t="s">
        <v>168</v>
      </c>
      <c r="E73" s="489">
        <f>F73+G73</f>
        <v>80000</v>
      </c>
      <c r="F73" s="325">
        <f>SUM(F74)</f>
        <v>80000</v>
      </c>
      <c r="G73" s="322">
        <f>SUM(G74)</f>
        <v>0</v>
      </c>
    </row>
    <row r="74" spans="1:7" ht="51.75">
      <c r="A74" s="304"/>
      <c r="B74" s="412"/>
      <c r="C74" s="304" t="s">
        <v>419</v>
      </c>
      <c r="D74" s="437" t="s">
        <v>169</v>
      </c>
      <c r="E74" s="492">
        <f>SUM(E75+E77+E79+E81+E83)</f>
        <v>48244996</v>
      </c>
      <c r="F74" s="322">
        <v>80000</v>
      </c>
      <c r="G74" s="322"/>
    </row>
    <row r="75" spans="1:7" s="299" customFormat="1" ht="15.75">
      <c r="A75" s="296">
        <v>758</v>
      </c>
      <c r="B75" s="410"/>
      <c r="C75" s="296"/>
      <c r="D75" s="297" t="s">
        <v>229</v>
      </c>
      <c r="E75" s="492">
        <f>SUM(E76+E78+E80+E82+E84)</f>
        <v>24209998</v>
      </c>
      <c r="F75" s="323">
        <f>SUM(F76+F78+F80+F82+F84)</f>
        <v>24209998</v>
      </c>
      <c r="G75" s="323">
        <f>SUM(G76+G80+G82+G84+G78)</f>
        <v>0</v>
      </c>
    </row>
    <row r="76" spans="1:7" s="303" customFormat="1" ht="47.25">
      <c r="A76" s="300"/>
      <c r="B76" s="411">
        <v>75801</v>
      </c>
      <c r="C76" s="300"/>
      <c r="D76" s="301" t="s">
        <v>333</v>
      </c>
      <c r="E76" s="493">
        <f>E77</f>
        <v>15911160</v>
      </c>
      <c r="F76" s="324">
        <f>F77</f>
        <v>15911160</v>
      </c>
      <c r="G76" s="324">
        <f>G77</f>
        <v>0</v>
      </c>
    </row>
    <row r="77" spans="1:7" ht="30">
      <c r="A77" s="304"/>
      <c r="B77" s="412"/>
      <c r="C77" s="304">
        <v>2920</v>
      </c>
      <c r="D77" s="305" t="s">
        <v>334</v>
      </c>
      <c r="E77" s="489">
        <f>F77+G77</f>
        <v>15911160</v>
      </c>
      <c r="F77" s="322">
        <v>15911160</v>
      </c>
      <c r="G77" s="322"/>
    </row>
    <row r="78" spans="1:7" ht="31.5" hidden="1">
      <c r="A78" s="304"/>
      <c r="B78" s="411">
        <v>75802</v>
      </c>
      <c r="C78" s="304"/>
      <c r="D78" s="301" t="s">
        <v>213</v>
      </c>
      <c r="E78" s="493">
        <f>E79</f>
        <v>0</v>
      </c>
      <c r="F78" s="324">
        <f>F79</f>
        <v>0</v>
      </c>
      <c r="G78" s="324">
        <f>G79</f>
        <v>0</v>
      </c>
    </row>
    <row r="79" spans="1:7" ht="105" hidden="1">
      <c r="A79" s="304"/>
      <c r="B79" s="412"/>
      <c r="C79" s="330">
        <v>6180</v>
      </c>
      <c r="D79" s="305" t="s">
        <v>214</v>
      </c>
      <c r="E79" s="489">
        <f>F79+G79</f>
        <v>0</v>
      </c>
      <c r="F79" s="322"/>
      <c r="G79" s="322"/>
    </row>
    <row r="80" spans="1:7" s="303" customFormat="1" ht="31.5">
      <c r="A80" s="300"/>
      <c r="B80" s="411">
        <v>75803</v>
      </c>
      <c r="C80" s="300"/>
      <c r="D80" s="301" t="s">
        <v>335</v>
      </c>
      <c r="E80" s="493">
        <f>E81</f>
        <v>6613496</v>
      </c>
      <c r="F80" s="324">
        <f>F81</f>
        <v>6613496</v>
      </c>
      <c r="G80" s="324">
        <f>G81</f>
        <v>0</v>
      </c>
    </row>
    <row r="81" spans="1:7" ht="30">
      <c r="A81" s="304"/>
      <c r="B81" s="412"/>
      <c r="C81" s="304">
        <v>2920</v>
      </c>
      <c r="D81" s="305" t="s">
        <v>334</v>
      </c>
      <c r="E81" s="489">
        <f>F81+G81</f>
        <v>6613496</v>
      </c>
      <c r="F81" s="322">
        <v>6613496</v>
      </c>
      <c r="G81" s="322"/>
    </row>
    <row r="82" spans="1:7" s="303" customFormat="1" ht="31.5">
      <c r="A82" s="300"/>
      <c r="B82" s="411">
        <v>75832</v>
      </c>
      <c r="C82" s="300"/>
      <c r="D82" s="301" t="s">
        <v>336</v>
      </c>
      <c r="E82" s="493">
        <f>E83</f>
        <v>1510342</v>
      </c>
      <c r="F82" s="324">
        <f>F83</f>
        <v>1510342</v>
      </c>
      <c r="G82" s="324">
        <f>G83</f>
        <v>0</v>
      </c>
    </row>
    <row r="83" spans="1:7" ht="30">
      <c r="A83" s="304"/>
      <c r="B83" s="412"/>
      <c r="C83" s="304">
        <v>2920</v>
      </c>
      <c r="D83" s="305" t="s">
        <v>334</v>
      </c>
      <c r="E83" s="489">
        <f>F83+G83</f>
        <v>1510342</v>
      </c>
      <c r="F83" s="322">
        <v>1510342</v>
      </c>
      <c r="G83" s="322"/>
    </row>
    <row r="84" spans="1:7" s="303" customFormat="1" ht="15.75">
      <c r="A84" s="300"/>
      <c r="B84" s="411">
        <v>75814</v>
      </c>
      <c r="C84" s="300"/>
      <c r="D84" s="301" t="s">
        <v>337</v>
      </c>
      <c r="E84" s="493">
        <f>SUM(E85:E87)</f>
        <v>175000</v>
      </c>
      <c r="F84" s="324">
        <f>SUM(F85:F87)</f>
        <v>175000</v>
      </c>
      <c r="G84" s="324">
        <f>SUM(G85:G87)</f>
        <v>0</v>
      </c>
    </row>
    <row r="85" spans="1:7" s="303" customFormat="1" ht="45.75" hidden="1">
      <c r="A85" s="331"/>
      <c r="B85" s="418"/>
      <c r="C85" s="331" t="s">
        <v>419</v>
      </c>
      <c r="D85" s="332" t="s">
        <v>640</v>
      </c>
      <c r="E85" s="489">
        <f>F85+G85</f>
        <v>0</v>
      </c>
      <c r="F85" s="322"/>
      <c r="G85" s="322"/>
    </row>
    <row r="86" spans="1:7" s="303" customFormat="1" ht="15.75">
      <c r="A86" s="331"/>
      <c r="B86" s="418"/>
      <c r="C86" s="304" t="s">
        <v>641</v>
      </c>
      <c r="D86" s="305" t="s">
        <v>642</v>
      </c>
      <c r="E86" s="489">
        <f>F86+G86</f>
        <v>175000</v>
      </c>
      <c r="F86" s="322">
        <v>175000</v>
      </c>
      <c r="G86" s="322"/>
    </row>
    <row r="87" spans="1:7" s="303" customFormat="1" ht="15.75" hidden="1">
      <c r="A87" s="331"/>
      <c r="B87" s="418"/>
      <c r="C87" s="304" t="s">
        <v>636</v>
      </c>
      <c r="D87" s="305" t="s">
        <v>643</v>
      </c>
      <c r="E87" s="489">
        <f>F87+G87</f>
        <v>0</v>
      </c>
      <c r="F87" s="322"/>
      <c r="G87" s="322"/>
    </row>
    <row r="88" spans="1:7" s="299" customFormat="1" ht="15.75">
      <c r="A88" s="296">
        <v>801</v>
      </c>
      <c r="B88" s="410"/>
      <c r="C88" s="296"/>
      <c r="D88" s="297" t="s">
        <v>232</v>
      </c>
      <c r="E88" s="492">
        <f>SUM(E91+E95+E100+E103+E89)</f>
        <v>225520</v>
      </c>
      <c r="F88" s="533">
        <f>SUM(F91+F95+F100+F103+F89)</f>
        <v>225520</v>
      </c>
      <c r="G88" s="533">
        <f>SUM(G91+G95+G100+G103+G89)</f>
        <v>0</v>
      </c>
    </row>
    <row r="89" spans="1:7" s="299" customFormat="1" ht="28.5" customHeight="1">
      <c r="A89" s="296"/>
      <c r="B89" s="411">
        <v>80111</v>
      </c>
      <c r="C89" s="300"/>
      <c r="D89" s="301" t="s">
        <v>171</v>
      </c>
      <c r="E89" s="489">
        <f>F89+G89</f>
        <v>1200</v>
      </c>
      <c r="F89" s="533">
        <f>SUM(F90)</f>
        <v>1200</v>
      </c>
      <c r="G89" s="533">
        <f>SUM(G90)</f>
        <v>0</v>
      </c>
    </row>
    <row r="90" spans="1:7" ht="33.75" customHeight="1">
      <c r="A90" s="331"/>
      <c r="B90" s="418"/>
      <c r="C90" s="331" t="s">
        <v>641</v>
      </c>
      <c r="D90" s="332" t="s">
        <v>172</v>
      </c>
      <c r="E90" s="489">
        <f>F90+G90</f>
        <v>1200</v>
      </c>
      <c r="F90" s="322">
        <v>1200</v>
      </c>
      <c r="G90" s="322"/>
    </row>
    <row r="91" spans="1:7" s="303" customFormat="1" ht="15.75">
      <c r="A91" s="300"/>
      <c r="B91" s="411">
        <v>80120</v>
      </c>
      <c r="C91" s="300"/>
      <c r="D91" s="301" t="s">
        <v>240</v>
      </c>
      <c r="E91" s="493">
        <f>SUM(E92:E94)</f>
        <v>5000</v>
      </c>
      <c r="F91" s="324">
        <f>SUM(F92:F94)</f>
        <v>5000</v>
      </c>
      <c r="G91" s="324">
        <f>SUM(G92:G94)</f>
        <v>0</v>
      </c>
    </row>
    <row r="92" spans="1:7" ht="120">
      <c r="A92" s="304"/>
      <c r="B92" s="412"/>
      <c r="C92" s="308" t="s">
        <v>313</v>
      </c>
      <c r="D92" s="305" t="s">
        <v>314</v>
      </c>
      <c r="E92" s="489">
        <f>F92+G92</f>
        <v>3000</v>
      </c>
      <c r="F92" s="322">
        <v>3000</v>
      </c>
      <c r="G92" s="322"/>
    </row>
    <row r="93" spans="1:7" ht="30" hidden="1">
      <c r="A93" s="304"/>
      <c r="B93" s="412"/>
      <c r="C93" s="308" t="s">
        <v>441</v>
      </c>
      <c r="D93" s="305" t="s">
        <v>442</v>
      </c>
      <c r="E93" s="489">
        <f>F93+G93</f>
        <v>0</v>
      </c>
      <c r="F93" s="322"/>
      <c r="G93" s="322"/>
    </row>
    <row r="94" spans="1:7" ht="15">
      <c r="A94" s="304"/>
      <c r="B94" s="412"/>
      <c r="C94" s="308" t="s">
        <v>641</v>
      </c>
      <c r="D94" s="305" t="s">
        <v>642</v>
      </c>
      <c r="E94" s="489">
        <f>F94+G94</f>
        <v>2000</v>
      </c>
      <c r="F94" s="322">
        <v>2000</v>
      </c>
      <c r="G94" s="322"/>
    </row>
    <row r="95" spans="1:7" s="303" customFormat="1" ht="15.75">
      <c r="A95" s="300"/>
      <c r="B95" s="411">
        <v>80130</v>
      </c>
      <c r="C95" s="300"/>
      <c r="D95" s="301" t="s">
        <v>339</v>
      </c>
      <c r="E95" s="493">
        <f>SUM(E96:E99)</f>
        <v>32000</v>
      </c>
      <c r="F95" s="534">
        <f>SUM(F96:F99)</f>
        <v>32000</v>
      </c>
      <c r="G95" s="534">
        <f>SUM(G96:G99)</f>
        <v>0</v>
      </c>
    </row>
    <row r="96" spans="1:7" s="303" customFormat="1" ht="15.75">
      <c r="A96" s="300"/>
      <c r="B96" s="411"/>
      <c r="C96" s="333" t="s">
        <v>215</v>
      </c>
      <c r="D96" s="332" t="s">
        <v>338</v>
      </c>
      <c r="E96" s="489">
        <f>F96+G96</f>
        <v>17000</v>
      </c>
      <c r="F96" s="322">
        <v>17000</v>
      </c>
      <c r="G96" s="324"/>
    </row>
    <row r="97" spans="1:7" ht="120">
      <c r="A97" s="304"/>
      <c r="B97" s="412"/>
      <c r="C97" s="334" t="s">
        <v>313</v>
      </c>
      <c r="D97" s="305" t="s">
        <v>314</v>
      </c>
      <c r="E97" s="489">
        <f>F97+G97</f>
        <v>10000</v>
      </c>
      <c r="F97" s="322">
        <v>10000</v>
      </c>
      <c r="G97" s="322"/>
    </row>
    <row r="98" spans="1:7" ht="15">
      <c r="A98" s="304"/>
      <c r="B98" s="412"/>
      <c r="C98" s="334" t="s">
        <v>216</v>
      </c>
      <c r="D98" s="305" t="s">
        <v>469</v>
      </c>
      <c r="E98" s="489">
        <f>F98+G98</f>
        <v>5000</v>
      </c>
      <c r="F98" s="322">
        <v>5000</v>
      </c>
      <c r="G98" s="322"/>
    </row>
    <row r="99" spans="1:7" ht="25.5">
      <c r="A99" s="304"/>
      <c r="B99" s="412"/>
      <c r="C99" s="308">
        <v>2380</v>
      </c>
      <c r="D99" s="437" t="s">
        <v>170</v>
      </c>
      <c r="E99" s="489">
        <f>F99+G99</f>
        <v>0</v>
      </c>
      <c r="F99" s="322"/>
      <c r="G99" s="322"/>
    </row>
    <row r="100" spans="1:7" s="303" customFormat="1" ht="15.75">
      <c r="A100" s="300"/>
      <c r="B100" s="411">
        <v>80132</v>
      </c>
      <c r="C100" s="335"/>
      <c r="D100" s="301" t="s">
        <v>247</v>
      </c>
      <c r="E100" s="493">
        <f>SUM(E101:E102)</f>
        <v>36000</v>
      </c>
      <c r="F100" s="493">
        <f>SUM(F101:F102)</f>
        <v>36000</v>
      </c>
      <c r="G100" s="493">
        <f>SUM(G101:G102)</f>
        <v>0</v>
      </c>
    </row>
    <row r="101" spans="1:7" ht="29.25" customHeight="1">
      <c r="A101" s="331"/>
      <c r="B101" s="418"/>
      <c r="C101" s="535" t="s">
        <v>641</v>
      </c>
      <c r="D101" s="332" t="s">
        <v>172</v>
      </c>
      <c r="E101" s="496">
        <f>F101+G101</f>
        <v>1400</v>
      </c>
      <c r="F101" s="322">
        <v>1400</v>
      </c>
      <c r="G101" s="322"/>
    </row>
    <row r="102" spans="1:7" ht="90">
      <c r="A102" s="304"/>
      <c r="B102" s="412"/>
      <c r="C102" s="304">
        <v>2710</v>
      </c>
      <c r="D102" s="305" t="s">
        <v>340</v>
      </c>
      <c r="E102" s="489">
        <f>F102+G102</f>
        <v>34600</v>
      </c>
      <c r="F102" s="322">
        <v>34600</v>
      </c>
      <c r="G102" s="322"/>
    </row>
    <row r="103" spans="1:7" s="307" customFormat="1" ht="15.75">
      <c r="A103" s="336"/>
      <c r="B103" s="413">
        <v>80195</v>
      </c>
      <c r="C103" s="336"/>
      <c r="D103" s="337" t="s">
        <v>224</v>
      </c>
      <c r="E103" s="495">
        <f>SUM(E104:E107)</f>
        <v>151320</v>
      </c>
      <c r="F103" s="325">
        <f>SUM(F104:F107)</f>
        <v>151320</v>
      </c>
      <c r="G103" s="325">
        <f>SUM(G106:G106)</f>
        <v>0</v>
      </c>
    </row>
    <row r="104" spans="1:7" s="338" customFormat="1" ht="18.75">
      <c r="A104" s="304"/>
      <c r="B104" s="412"/>
      <c r="C104" s="304" t="s">
        <v>323</v>
      </c>
      <c r="D104" s="305" t="s">
        <v>338</v>
      </c>
      <c r="E104" s="489">
        <f>F104+G104</f>
        <v>150000</v>
      </c>
      <c r="F104" s="351">
        <v>150000</v>
      </c>
      <c r="G104" s="244"/>
    </row>
    <row r="105" spans="1:7" s="338" customFormat="1" ht="46.5" hidden="1">
      <c r="A105" s="304"/>
      <c r="B105" s="412"/>
      <c r="C105" s="308">
        <v>2009</v>
      </c>
      <c r="D105" s="305" t="s">
        <v>126</v>
      </c>
      <c r="E105" s="489">
        <f>F105+G105</f>
        <v>0</v>
      </c>
      <c r="F105" s="351"/>
      <c r="G105" s="244"/>
    </row>
    <row r="106" spans="1:7" ht="90" hidden="1">
      <c r="A106" s="304"/>
      <c r="B106" s="412"/>
      <c r="C106" s="308">
        <v>2700</v>
      </c>
      <c r="D106" s="305" t="s">
        <v>41</v>
      </c>
      <c r="E106" s="489">
        <f>F106+G106</f>
        <v>0</v>
      </c>
      <c r="F106" s="295"/>
      <c r="G106" s="295"/>
    </row>
    <row r="107" spans="1:7" ht="45">
      <c r="A107" s="304"/>
      <c r="B107" s="412"/>
      <c r="C107" s="304">
        <v>2130</v>
      </c>
      <c r="D107" s="305" t="s">
        <v>346</v>
      </c>
      <c r="E107" s="489">
        <f>F107+G107</f>
        <v>1320</v>
      </c>
      <c r="F107" s="322">
        <v>1320</v>
      </c>
      <c r="G107" s="322"/>
    </row>
    <row r="108" spans="1:7" ht="15">
      <c r="A108" s="304"/>
      <c r="B108" s="412"/>
      <c r="C108" s="308"/>
      <c r="D108" s="305"/>
      <c r="E108" s="496"/>
      <c r="F108" s="295"/>
      <c r="G108" s="295"/>
    </row>
    <row r="109" spans="1:7" s="299" customFormat="1" ht="15.75">
      <c r="A109" s="296">
        <v>851</v>
      </c>
      <c r="B109" s="410"/>
      <c r="C109" s="296"/>
      <c r="D109" s="297" t="s">
        <v>257</v>
      </c>
      <c r="E109" s="492">
        <f>SUM(E110)</f>
        <v>2885119</v>
      </c>
      <c r="F109" s="323">
        <f>SUM(F110)</f>
        <v>2885119</v>
      </c>
      <c r="G109" s="323">
        <f>SUM(G110)</f>
        <v>0</v>
      </c>
    </row>
    <row r="110" spans="1:7" s="303" customFormat="1" ht="78.75">
      <c r="A110" s="300"/>
      <c r="B110" s="411">
        <v>85156</v>
      </c>
      <c r="C110" s="300"/>
      <c r="D110" s="301" t="s">
        <v>342</v>
      </c>
      <c r="E110" s="493">
        <f>E111</f>
        <v>2885119</v>
      </c>
      <c r="F110" s="324">
        <f>F111</f>
        <v>2885119</v>
      </c>
      <c r="G110" s="324">
        <f>G111</f>
        <v>0</v>
      </c>
    </row>
    <row r="111" spans="1:7" ht="90">
      <c r="A111" s="304"/>
      <c r="B111" s="412"/>
      <c r="C111" s="304">
        <v>2110</v>
      </c>
      <c r="D111" s="305" t="s">
        <v>309</v>
      </c>
      <c r="E111" s="489">
        <f>F111+G111</f>
        <v>2885119</v>
      </c>
      <c r="F111" s="322">
        <f>2706119+179000</f>
        <v>2885119</v>
      </c>
      <c r="G111" s="322"/>
    </row>
    <row r="112" spans="1:7" s="299" customFormat="1" ht="15.75">
      <c r="A112" s="296">
        <v>852</v>
      </c>
      <c r="B112" s="410"/>
      <c r="C112" s="296"/>
      <c r="D112" s="297" t="s">
        <v>343</v>
      </c>
      <c r="E112" s="493">
        <f>SUM(E113+E119+E127+E129+E132)</f>
        <v>12623758</v>
      </c>
      <c r="F112" s="323">
        <f>SUM(F113+F119+F127+F129+F132)</f>
        <v>10627144</v>
      </c>
      <c r="G112" s="323">
        <f>SUM(G113+G119+G127+G129)</f>
        <v>1996614</v>
      </c>
    </row>
    <row r="113" spans="1:7" s="303" customFormat="1" ht="31.5">
      <c r="A113" s="300"/>
      <c r="B113" s="411">
        <v>85201</v>
      </c>
      <c r="C113" s="300"/>
      <c r="D113" s="301" t="s">
        <v>344</v>
      </c>
      <c r="E113" s="493">
        <f>SUM(E114:E118)</f>
        <v>45500</v>
      </c>
      <c r="F113" s="324">
        <f>SUM(F114:F118)</f>
        <v>45500</v>
      </c>
      <c r="G113" s="324">
        <f>SUM(G114:G118)</f>
        <v>0</v>
      </c>
    </row>
    <row r="114" spans="1:7" ht="90">
      <c r="A114" s="304"/>
      <c r="B114" s="412"/>
      <c r="C114" s="308">
        <v>2320</v>
      </c>
      <c r="D114" s="263" t="s">
        <v>341</v>
      </c>
      <c r="E114" s="489">
        <f>F114+G114</f>
        <v>44200</v>
      </c>
      <c r="F114" s="322">
        <v>44200</v>
      </c>
      <c r="G114" s="322"/>
    </row>
    <row r="115" spans="1:7" ht="45">
      <c r="A115" s="304"/>
      <c r="B115" s="412"/>
      <c r="C115" s="308" t="s">
        <v>443</v>
      </c>
      <c r="D115" s="263" t="s">
        <v>444</v>
      </c>
      <c r="E115" s="489">
        <f>F115+G115</f>
        <v>1000</v>
      </c>
      <c r="F115" s="322">
        <v>1000</v>
      </c>
      <c r="G115" s="322"/>
    </row>
    <row r="116" spans="1:7" ht="15" hidden="1">
      <c r="A116" s="304"/>
      <c r="B116" s="412"/>
      <c r="C116" s="308" t="s">
        <v>323</v>
      </c>
      <c r="D116" s="263" t="s">
        <v>338</v>
      </c>
      <c r="E116" s="489">
        <f>F116+G116</f>
        <v>0</v>
      </c>
      <c r="F116" s="322"/>
      <c r="G116" s="322"/>
    </row>
    <row r="117" spans="1:7" ht="15">
      <c r="A117" s="304"/>
      <c r="B117" s="412"/>
      <c r="C117" s="308" t="s">
        <v>641</v>
      </c>
      <c r="D117" s="263" t="s">
        <v>642</v>
      </c>
      <c r="E117" s="489">
        <f>F117+G117</f>
        <v>300</v>
      </c>
      <c r="F117" s="322">
        <v>300</v>
      </c>
      <c r="G117" s="322"/>
    </row>
    <row r="118" spans="1:7" ht="75" hidden="1">
      <c r="A118" s="304"/>
      <c r="B118" s="412"/>
      <c r="C118" s="308">
        <v>6430</v>
      </c>
      <c r="D118" s="339" t="s">
        <v>130</v>
      </c>
      <c r="E118" s="489">
        <f>F118+G118</f>
        <v>0</v>
      </c>
      <c r="F118" s="322"/>
      <c r="G118" s="322"/>
    </row>
    <row r="119" spans="1:7" s="303" customFormat="1" ht="15.75">
      <c r="A119" s="300"/>
      <c r="B119" s="411">
        <v>85202</v>
      </c>
      <c r="C119" s="300"/>
      <c r="D119" s="301" t="s">
        <v>345</v>
      </c>
      <c r="E119" s="493">
        <f>SUM(E120:E126)</f>
        <v>11503122</v>
      </c>
      <c r="F119" s="493">
        <f>SUM(F120:F126)</f>
        <v>9506508</v>
      </c>
      <c r="G119" s="493">
        <f>SUM(G120:G126)</f>
        <v>1996614</v>
      </c>
    </row>
    <row r="120" spans="1:7" ht="120">
      <c r="A120" s="304"/>
      <c r="B120" s="412"/>
      <c r="C120" s="304" t="s">
        <v>313</v>
      </c>
      <c r="D120" s="305" t="s">
        <v>314</v>
      </c>
      <c r="E120" s="489">
        <f aca="true" t="shared" si="1" ref="E120:E126">F120+G120</f>
        <v>50583</v>
      </c>
      <c r="F120" s="322">
        <v>50583</v>
      </c>
      <c r="G120" s="322"/>
    </row>
    <row r="121" spans="1:7" ht="15">
      <c r="A121" s="304"/>
      <c r="B121" s="412"/>
      <c r="C121" s="308" t="s">
        <v>323</v>
      </c>
      <c r="D121" s="305" t="s">
        <v>338</v>
      </c>
      <c r="E121" s="489">
        <f t="shared" si="1"/>
        <v>5206887</v>
      </c>
      <c r="F121" s="322">
        <v>5206887</v>
      </c>
      <c r="G121" s="322"/>
    </row>
    <row r="122" spans="1:7" ht="42.75">
      <c r="A122" s="304"/>
      <c r="B122" s="412"/>
      <c r="C122" s="348">
        <v>2130</v>
      </c>
      <c r="D122" s="349" t="s">
        <v>346</v>
      </c>
      <c r="E122" s="489">
        <f t="shared" si="1"/>
        <v>4232945</v>
      </c>
      <c r="F122" s="322">
        <v>4232945</v>
      </c>
      <c r="G122" s="322"/>
    </row>
    <row r="123" spans="1:7" ht="30">
      <c r="A123" s="304"/>
      <c r="B123" s="412"/>
      <c r="C123" s="308" t="s">
        <v>441</v>
      </c>
      <c r="D123" s="305" t="s">
        <v>442</v>
      </c>
      <c r="E123" s="489">
        <f t="shared" si="1"/>
        <v>100</v>
      </c>
      <c r="F123" s="322">
        <v>100</v>
      </c>
      <c r="G123" s="322"/>
    </row>
    <row r="124" spans="1:7" ht="15">
      <c r="A124" s="304"/>
      <c r="B124" s="412"/>
      <c r="C124" s="308" t="s">
        <v>641</v>
      </c>
      <c r="D124" s="305" t="s">
        <v>642</v>
      </c>
      <c r="E124" s="489">
        <f t="shared" si="1"/>
        <v>5500</v>
      </c>
      <c r="F124" s="322">
        <v>5500</v>
      </c>
      <c r="G124" s="322"/>
    </row>
    <row r="125" spans="1:7" ht="15">
      <c r="A125" s="304"/>
      <c r="B125" s="412"/>
      <c r="C125" s="308" t="s">
        <v>636</v>
      </c>
      <c r="D125" s="305" t="s">
        <v>445</v>
      </c>
      <c r="E125" s="489">
        <f t="shared" si="1"/>
        <v>10493</v>
      </c>
      <c r="F125" s="322">
        <v>10493</v>
      </c>
      <c r="G125" s="322"/>
    </row>
    <row r="126" spans="1:7" ht="76.5">
      <c r="A126" s="304"/>
      <c r="B126" s="412"/>
      <c r="C126" s="308">
        <v>6207</v>
      </c>
      <c r="D126" s="437" t="s">
        <v>510</v>
      </c>
      <c r="E126" s="489">
        <f t="shared" si="1"/>
        <v>1996614</v>
      </c>
      <c r="F126" s="322"/>
      <c r="G126" s="322">
        <v>1996614</v>
      </c>
    </row>
    <row r="127" spans="1:7" s="303" customFormat="1" ht="13.5" customHeight="1">
      <c r="A127" s="300"/>
      <c r="B127" s="411">
        <v>85203</v>
      </c>
      <c r="C127" s="300"/>
      <c r="D127" s="340" t="s">
        <v>272</v>
      </c>
      <c r="E127" s="493">
        <f>SUM(E128:E128)</f>
        <v>766566</v>
      </c>
      <c r="F127" s="324">
        <f>SUM(F128:F128)</f>
        <v>766566</v>
      </c>
      <c r="G127" s="324">
        <f>SUM(G128:G128)</f>
        <v>0</v>
      </c>
    </row>
    <row r="128" spans="1:7" ht="90">
      <c r="A128" s="304"/>
      <c r="B128" s="412"/>
      <c r="C128" s="304">
        <v>2110</v>
      </c>
      <c r="D128" s="305" t="s">
        <v>309</v>
      </c>
      <c r="E128" s="489">
        <f>F128+G128</f>
        <v>766566</v>
      </c>
      <c r="F128" s="322">
        <v>766566</v>
      </c>
      <c r="G128" s="322"/>
    </row>
    <row r="129" spans="1:7" s="303" customFormat="1" ht="15.75">
      <c r="A129" s="300"/>
      <c r="B129" s="411">
        <v>85204</v>
      </c>
      <c r="C129" s="300"/>
      <c r="D129" s="301" t="s">
        <v>273</v>
      </c>
      <c r="E129" s="493">
        <f>SUM(E130:E131)</f>
        <v>300300</v>
      </c>
      <c r="F129" s="324">
        <f>SUM(F130:F131)</f>
        <v>300300</v>
      </c>
      <c r="G129" s="324">
        <f>SUM(G130:G131)</f>
        <v>0</v>
      </c>
    </row>
    <row r="130" spans="1:7" ht="15">
      <c r="A130" s="331"/>
      <c r="B130" s="418"/>
      <c r="C130" s="331" t="s">
        <v>312</v>
      </c>
      <c r="D130" s="332" t="s">
        <v>446</v>
      </c>
      <c r="E130" s="489">
        <f>F130+G130</f>
        <v>5300</v>
      </c>
      <c r="F130" s="322">
        <v>5300</v>
      </c>
      <c r="G130" s="322"/>
    </row>
    <row r="131" spans="1:7" ht="90">
      <c r="A131" s="304"/>
      <c r="B131" s="412"/>
      <c r="C131" s="308">
        <v>2320</v>
      </c>
      <c r="D131" s="263" t="s">
        <v>341</v>
      </c>
      <c r="E131" s="489">
        <f>F131+G131</f>
        <v>295000</v>
      </c>
      <c r="F131" s="322">
        <v>295000</v>
      </c>
      <c r="G131" s="322"/>
    </row>
    <row r="132" spans="1:7" s="303" customFormat="1" ht="13.5" customHeight="1">
      <c r="A132" s="300"/>
      <c r="B132" s="411">
        <v>85218</v>
      </c>
      <c r="C132" s="300"/>
      <c r="D132" s="340" t="s">
        <v>652</v>
      </c>
      <c r="E132" s="493">
        <f>SUM(E133:E136)</f>
        <v>8270</v>
      </c>
      <c r="F132" s="324">
        <f>SUM(F133:F136)</f>
        <v>8270</v>
      </c>
      <c r="G132" s="324">
        <f>SUM(G133:G134)</f>
        <v>0</v>
      </c>
    </row>
    <row r="133" spans="1:7" ht="15">
      <c r="A133" s="304"/>
      <c r="B133" s="412"/>
      <c r="C133" s="304" t="s">
        <v>323</v>
      </c>
      <c r="D133" s="305" t="s">
        <v>447</v>
      </c>
      <c r="E133" s="489">
        <f>F133+G133</f>
        <v>50</v>
      </c>
      <c r="F133" s="322">
        <v>50</v>
      </c>
      <c r="G133" s="322"/>
    </row>
    <row r="134" spans="1:7" ht="15">
      <c r="A134" s="304"/>
      <c r="B134" s="412"/>
      <c r="C134" s="304" t="s">
        <v>641</v>
      </c>
      <c r="D134" s="305" t="s">
        <v>642</v>
      </c>
      <c r="E134" s="489">
        <f>F134+G134</f>
        <v>1000</v>
      </c>
      <c r="F134" s="322">
        <v>1000</v>
      </c>
      <c r="G134" s="322"/>
    </row>
    <row r="135" spans="1:7" ht="15">
      <c r="A135" s="304"/>
      <c r="B135" s="412"/>
      <c r="C135" s="304" t="s">
        <v>636</v>
      </c>
      <c r="D135" s="305" t="s">
        <v>445</v>
      </c>
      <c r="E135" s="489">
        <f>F135+G135</f>
        <v>1220</v>
      </c>
      <c r="F135" s="322">
        <v>1220</v>
      </c>
      <c r="G135" s="322"/>
    </row>
    <row r="136" spans="1:7" ht="45">
      <c r="A136" s="304"/>
      <c r="B136" s="412"/>
      <c r="C136" s="423">
        <v>2130</v>
      </c>
      <c r="D136" s="305" t="s">
        <v>346</v>
      </c>
      <c r="E136" s="489">
        <f>F136+G136</f>
        <v>6000</v>
      </c>
      <c r="F136" s="322">
        <v>6000</v>
      </c>
      <c r="G136" s="322"/>
    </row>
    <row r="137" spans="1:7" s="299" customFormat="1" ht="47.25">
      <c r="A137" s="296">
        <v>853</v>
      </c>
      <c r="B137" s="410"/>
      <c r="C137" s="341"/>
      <c r="D137" s="297" t="s">
        <v>347</v>
      </c>
      <c r="E137" s="492">
        <f>SUM(E138+E140+E146+E148)</f>
        <v>4767797</v>
      </c>
      <c r="F137" s="323">
        <f>SUM(F138+F140+F146+F148)</f>
        <v>4753489</v>
      </c>
      <c r="G137" s="323">
        <f>SUM(G138+G140+G146+G148)</f>
        <v>14308</v>
      </c>
    </row>
    <row r="138" spans="1:7" s="303" customFormat="1" ht="31.5">
      <c r="A138" s="300"/>
      <c r="B138" s="411">
        <v>85321</v>
      </c>
      <c r="C138" s="300"/>
      <c r="D138" s="301" t="s">
        <v>112</v>
      </c>
      <c r="E138" s="493">
        <f>E139</f>
        <v>116220</v>
      </c>
      <c r="F138" s="324">
        <f>F139</f>
        <v>116220</v>
      </c>
      <c r="G138" s="324">
        <f>G139</f>
        <v>0</v>
      </c>
    </row>
    <row r="139" spans="1:7" ht="90">
      <c r="A139" s="304"/>
      <c r="B139" s="412"/>
      <c r="C139" s="304">
        <v>2110</v>
      </c>
      <c r="D139" s="305" t="s">
        <v>309</v>
      </c>
      <c r="E139" s="489">
        <f>F139+G139</f>
        <v>116220</v>
      </c>
      <c r="F139" s="322">
        <v>116220</v>
      </c>
      <c r="G139" s="322"/>
    </row>
    <row r="140" spans="1:7" s="303" customFormat="1" ht="16.5" customHeight="1">
      <c r="A140" s="300"/>
      <c r="B140" s="411">
        <v>85333</v>
      </c>
      <c r="C140" s="300"/>
      <c r="D140" s="301" t="s">
        <v>348</v>
      </c>
      <c r="E140" s="493">
        <f>SUM(E141:E145)</f>
        <v>857322</v>
      </c>
      <c r="F140" s="324">
        <f>SUM(F141:F145)</f>
        <v>857322</v>
      </c>
      <c r="G140" s="324">
        <f>SUM(G141:G145)</f>
        <v>0</v>
      </c>
    </row>
    <row r="141" spans="1:7" s="303" customFormat="1" ht="120.75">
      <c r="A141" s="300"/>
      <c r="B141" s="411"/>
      <c r="C141" s="304" t="s">
        <v>313</v>
      </c>
      <c r="D141" s="305" t="s">
        <v>314</v>
      </c>
      <c r="E141" s="489">
        <f>F141+G141</f>
        <v>7000</v>
      </c>
      <c r="F141" s="322">
        <v>7000</v>
      </c>
      <c r="G141" s="324"/>
    </row>
    <row r="142" spans="1:7" ht="15">
      <c r="A142" s="304"/>
      <c r="B142" s="412"/>
      <c r="C142" s="304" t="s">
        <v>323</v>
      </c>
      <c r="D142" s="305" t="s">
        <v>447</v>
      </c>
      <c r="E142" s="489">
        <f>F142+G142</f>
        <v>500</v>
      </c>
      <c r="F142" s="322">
        <v>500</v>
      </c>
      <c r="G142" s="322"/>
    </row>
    <row r="143" spans="1:7" ht="15">
      <c r="A143" s="304"/>
      <c r="B143" s="412"/>
      <c r="C143" s="304" t="s">
        <v>641</v>
      </c>
      <c r="D143" s="305" t="s">
        <v>642</v>
      </c>
      <c r="E143" s="489">
        <f>F143+G143</f>
        <v>1500</v>
      </c>
      <c r="F143" s="322">
        <v>1500</v>
      </c>
      <c r="G143" s="322"/>
    </row>
    <row r="144" spans="1:7" s="303" customFormat="1" ht="90" customHeight="1">
      <c r="A144" s="300"/>
      <c r="B144" s="411"/>
      <c r="C144" s="304">
        <v>2007</v>
      </c>
      <c r="D144" s="64" t="s">
        <v>661</v>
      </c>
      <c r="E144" s="489">
        <f>F144+G144</f>
        <v>156822</v>
      </c>
      <c r="F144" s="322">
        <v>156822</v>
      </c>
      <c r="G144" s="324"/>
    </row>
    <row r="145" spans="1:7" ht="155.25" customHeight="1">
      <c r="A145" s="304"/>
      <c r="B145" s="412"/>
      <c r="C145" s="308">
        <v>2690</v>
      </c>
      <c r="D145" s="305" t="s">
        <v>582</v>
      </c>
      <c r="E145" s="489">
        <f>F145+G145</f>
        <v>691500</v>
      </c>
      <c r="F145" s="322">
        <v>691500</v>
      </c>
      <c r="G145" s="322"/>
    </row>
    <row r="146" spans="1:7" s="303" customFormat="1" ht="15.75" hidden="1">
      <c r="A146" s="300"/>
      <c r="B146" s="411">
        <v>85334</v>
      </c>
      <c r="C146" s="300"/>
      <c r="D146" s="301" t="s">
        <v>609</v>
      </c>
      <c r="E146" s="493">
        <f>E147</f>
        <v>0</v>
      </c>
      <c r="F146" s="324">
        <f>F147</f>
        <v>0</v>
      </c>
      <c r="G146" s="324">
        <f>G147</f>
        <v>0</v>
      </c>
    </row>
    <row r="147" spans="1:7" ht="90" hidden="1">
      <c r="A147" s="304"/>
      <c r="B147" s="412"/>
      <c r="C147" s="304">
        <v>2110</v>
      </c>
      <c r="D147" s="305" t="s">
        <v>309</v>
      </c>
      <c r="E147" s="489">
        <f>F147+G147</f>
        <v>0</v>
      </c>
      <c r="F147" s="322"/>
      <c r="G147" s="322"/>
    </row>
    <row r="148" spans="1:7" ht="15.75">
      <c r="A148" s="300"/>
      <c r="B148" s="411">
        <v>83395</v>
      </c>
      <c r="C148" s="300"/>
      <c r="D148" s="301" t="s">
        <v>224</v>
      </c>
      <c r="E148" s="497">
        <f>SUM(E149:E159)</f>
        <v>3794255</v>
      </c>
      <c r="F148" s="260">
        <f>SUM(F149:F159)</f>
        <v>3779947</v>
      </c>
      <c r="G148" s="260">
        <f>SUM(G149:G159)</f>
        <v>14308</v>
      </c>
    </row>
    <row r="149" spans="1:7" ht="77.25">
      <c r="A149" s="304"/>
      <c r="B149" s="412"/>
      <c r="C149" s="342">
        <v>2008</v>
      </c>
      <c r="D149" s="64" t="s">
        <v>661</v>
      </c>
      <c r="E149" s="489">
        <f aca="true" t="shared" si="2" ref="E149:E159">F149+G149</f>
        <v>1543656</v>
      </c>
      <c r="F149" s="244">
        <v>1543656</v>
      </c>
      <c r="G149" s="322"/>
    </row>
    <row r="150" spans="1:7" ht="77.25">
      <c r="A150" s="304"/>
      <c r="B150" s="412"/>
      <c r="C150" s="344">
        <v>2009</v>
      </c>
      <c r="D150" s="64" t="s">
        <v>661</v>
      </c>
      <c r="E150" s="489">
        <f t="shared" si="2"/>
        <v>464329</v>
      </c>
      <c r="F150" s="244">
        <v>464329</v>
      </c>
      <c r="G150" s="322"/>
    </row>
    <row r="151" spans="1:7" ht="15.75" hidden="1">
      <c r="A151" s="304"/>
      <c r="B151" s="412"/>
      <c r="C151" s="342">
        <v>6208</v>
      </c>
      <c r="D151" s="343" t="s">
        <v>629</v>
      </c>
      <c r="E151" s="489">
        <f t="shared" si="2"/>
        <v>0</v>
      </c>
      <c r="F151" s="244"/>
      <c r="G151" s="322"/>
    </row>
    <row r="152" spans="1:7" ht="15.75" hidden="1">
      <c r="A152" s="304"/>
      <c r="B152" s="412"/>
      <c r="C152" s="344">
        <v>6209</v>
      </c>
      <c r="D152" s="343" t="s">
        <v>628</v>
      </c>
      <c r="E152" s="489">
        <f t="shared" si="2"/>
        <v>0</v>
      </c>
      <c r="F152" s="244"/>
      <c r="G152" s="322"/>
    </row>
    <row r="153" spans="1:7" ht="77.25">
      <c r="A153" s="304"/>
      <c r="B153" s="412"/>
      <c r="C153" s="342">
        <v>2007</v>
      </c>
      <c r="D153" s="64" t="s">
        <v>661</v>
      </c>
      <c r="E153" s="489">
        <f>F153+G153</f>
        <v>1771036</v>
      </c>
      <c r="F153" s="244">
        <v>1771036</v>
      </c>
      <c r="G153" s="322"/>
    </row>
    <row r="154" spans="1:7" ht="77.25">
      <c r="A154" s="304"/>
      <c r="B154" s="412"/>
      <c r="C154" s="344">
        <v>2009</v>
      </c>
      <c r="D154" s="64" t="s">
        <v>661</v>
      </c>
      <c r="E154" s="489">
        <f>F154+G154</f>
        <v>0</v>
      </c>
      <c r="F154" s="244"/>
      <c r="G154" s="322"/>
    </row>
    <row r="155" spans="1:7" ht="90">
      <c r="A155" s="304"/>
      <c r="B155" s="412"/>
      <c r="C155" s="304">
        <v>2310</v>
      </c>
      <c r="D155" s="263" t="s">
        <v>826</v>
      </c>
      <c r="E155" s="489">
        <f>F155+G155</f>
        <v>926</v>
      </c>
      <c r="F155" s="322">
        <v>926</v>
      </c>
      <c r="G155" s="322"/>
    </row>
    <row r="156" spans="1:7" ht="77.25">
      <c r="A156" s="304"/>
      <c r="B156" s="412"/>
      <c r="C156" s="403">
        <v>6207</v>
      </c>
      <c r="D156" s="64" t="s">
        <v>661</v>
      </c>
      <c r="E156" s="489">
        <f>G156</f>
        <v>10275</v>
      </c>
      <c r="F156" s="244"/>
      <c r="G156" s="322">
        <v>10275</v>
      </c>
    </row>
    <row r="157" spans="1:7" ht="77.25">
      <c r="A157" s="304"/>
      <c r="B157" s="412"/>
      <c r="C157" s="403">
        <v>6208</v>
      </c>
      <c r="D157" s="64" t="s">
        <v>661</v>
      </c>
      <c r="E157" s="489">
        <f>G157</f>
        <v>3428</v>
      </c>
      <c r="F157" s="244"/>
      <c r="G157" s="322">
        <f>3400+28</f>
        <v>3428</v>
      </c>
    </row>
    <row r="158" spans="1:7" ht="77.25">
      <c r="A158" s="304"/>
      <c r="B158" s="412"/>
      <c r="C158" s="403">
        <v>6209</v>
      </c>
      <c r="D158" s="64" t="s">
        <v>661</v>
      </c>
      <c r="E158" s="489">
        <f t="shared" si="2"/>
        <v>605</v>
      </c>
      <c r="F158" s="244"/>
      <c r="G158" s="322">
        <f>605</f>
        <v>605</v>
      </c>
    </row>
    <row r="159" spans="1:7" ht="60.75" hidden="1">
      <c r="A159" s="304"/>
      <c r="B159" s="412"/>
      <c r="C159" s="345">
        <v>2320</v>
      </c>
      <c r="D159" s="343" t="s">
        <v>127</v>
      </c>
      <c r="E159" s="489">
        <f t="shared" si="2"/>
        <v>0</v>
      </c>
      <c r="F159" s="244"/>
      <c r="G159" s="322"/>
    </row>
    <row r="160" spans="1:7" s="299" customFormat="1" ht="31.5">
      <c r="A160" s="296">
        <v>854</v>
      </c>
      <c r="B160" s="410"/>
      <c r="C160" s="296"/>
      <c r="D160" s="297" t="s">
        <v>284</v>
      </c>
      <c r="E160" s="492">
        <f>SUM(E164+E167+E169+E161+E175)</f>
        <v>28209</v>
      </c>
      <c r="F160" s="323">
        <f>SUM(F164+F167+F169+F161+F175)</f>
        <v>28209</v>
      </c>
      <c r="G160" s="323">
        <f>SUM(G164+G167+G169+G161+G175)</f>
        <v>0</v>
      </c>
    </row>
    <row r="161" spans="1:7" s="303" customFormat="1" ht="31.5">
      <c r="A161" s="300"/>
      <c r="B161" s="411">
        <v>85406</v>
      </c>
      <c r="C161" s="300"/>
      <c r="D161" s="301" t="s">
        <v>436</v>
      </c>
      <c r="E161" s="324">
        <f>SUM(E162:E163)</f>
        <v>3209</v>
      </c>
      <c r="F161" s="324">
        <f>SUM(F162:F163)</f>
        <v>3209</v>
      </c>
      <c r="G161" s="324">
        <f>SUM(G162:G164)</f>
        <v>0</v>
      </c>
    </row>
    <row r="162" spans="1:7" ht="15">
      <c r="A162" s="304"/>
      <c r="B162" s="412"/>
      <c r="C162" s="304" t="s">
        <v>641</v>
      </c>
      <c r="D162" s="305" t="s">
        <v>642</v>
      </c>
      <c r="E162" s="489">
        <f>F162+G162</f>
        <v>1200</v>
      </c>
      <c r="F162" s="322">
        <v>1200</v>
      </c>
      <c r="G162" s="322"/>
    </row>
    <row r="163" spans="1:7" ht="15.75">
      <c r="A163" s="616"/>
      <c r="B163" s="412"/>
      <c r="C163" s="304" t="s">
        <v>636</v>
      </c>
      <c r="D163" s="617" t="s">
        <v>33</v>
      </c>
      <c r="E163" s="489">
        <f>F163+G163</f>
        <v>2009</v>
      </c>
      <c r="F163" s="618">
        <v>2009</v>
      </c>
      <c r="G163" s="324"/>
    </row>
    <row r="164" spans="1:7" s="303" customFormat="1" ht="15.75">
      <c r="A164" s="300"/>
      <c r="B164" s="411">
        <v>85410</v>
      </c>
      <c r="C164" s="300"/>
      <c r="D164" s="301" t="s">
        <v>349</v>
      </c>
      <c r="E164" s="493">
        <f>SUM(E165:E166)</f>
        <v>10000</v>
      </c>
      <c r="F164" s="324">
        <f>SUM(F165:F166)</f>
        <v>10000</v>
      </c>
      <c r="G164" s="324">
        <f>SUM(G165:G166)</f>
        <v>0</v>
      </c>
    </row>
    <row r="165" spans="1:7" ht="120">
      <c r="A165" s="304"/>
      <c r="B165" s="412"/>
      <c r="C165" s="304" t="s">
        <v>313</v>
      </c>
      <c r="D165" s="305" t="s">
        <v>314</v>
      </c>
      <c r="E165" s="489">
        <f>F165+G165</f>
        <v>3000</v>
      </c>
      <c r="F165" s="322">
        <v>3000</v>
      </c>
      <c r="G165" s="322"/>
    </row>
    <row r="166" spans="1:7" ht="15">
      <c r="A166" s="304"/>
      <c r="B166" s="412"/>
      <c r="C166" s="304" t="s">
        <v>323</v>
      </c>
      <c r="D166" s="305" t="s">
        <v>447</v>
      </c>
      <c r="E166" s="489">
        <f>F166+G166</f>
        <v>7000</v>
      </c>
      <c r="F166" s="322">
        <v>7000</v>
      </c>
      <c r="G166" s="322"/>
    </row>
    <row r="167" spans="1:7" ht="31.5" hidden="1">
      <c r="A167" s="304"/>
      <c r="B167" s="411">
        <v>85413</v>
      </c>
      <c r="C167" s="308"/>
      <c r="D167" s="301" t="s">
        <v>212</v>
      </c>
      <c r="E167" s="498">
        <f>E168</f>
        <v>0</v>
      </c>
      <c r="F167" s="258">
        <f>F168</f>
        <v>0</v>
      </c>
      <c r="G167" s="324">
        <f>G168</f>
        <v>0</v>
      </c>
    </row>
    <row r="168" spans="1:7" ht="90" hidden="1">
      <c r="A168" s="304"/>
      <c r="B168" s="412"/>
      <c r="C168" s="308">
        <v>2700</v>
      </c>
      <c r="D168" s="305" t="s">
        <v>41</v>
      </c>
      <c r="E168" s="489">
        <f>F168+G168</f>
        <v>0</v>
      </c>
      <c r="F168" s="322"/>
      <c r="G168" s="322"/>
    </row>
    <row r="169" spans="1:7" s="303" customFormat="1" ht="31.5" hidden="1">
      <c r="A169" s="300"/>
      <c r="B169" s="411">
        <v>85415</v>
      </c>
      <c r="C169" s="300"/>
      <c r="D169" s="301" t="s">
        <v>638</v>
      </c>
      <c r="E169" s="493">
        <f>SUM(E170:E171)</f>
        <v>0</v>
      </c>
      <c r="F169" s="324">
        <f>SUM(F170:F171)</f>
        <v>0</v>
      </c>
      <c r="G169" s="324">
        <f>SUM(G170:G171)</f>
        <v>0</v>
      </c>
    </row>
    <row r="170" spans="1:7" s="303" customFormat="1" ht="45.75" hidden="1">
      <c r="A170" s="300"/>
      <c r="B170" s="411"/>
      <c r="C170" s="331">
        <v>2130</v>
      </c>
      <c r="D170" s="305" t="s">
        <v>346</v>
      </c>
      <c r="E170" s="489">
        <f>F170+G170</f>
        <v>0</v>
      </c>
      <c r="F170" s="322"/>
      <c r="G170" s="324"/>
    </row>
    <row r="171" spans="1:7" ht="75" hidden="1">
      <c r="A171" s="304"/>
      <c r="B171" s="412"/>
      <c r="C171" s="308">
        <v>2330</v>
      </c>
      <c r="D171" s="305" t="s">
        <v>639</v>
      </c>
      <c r="E171" s="489">
        <f>F171+G171</f>
        <v>0</v>
      </c>
      <c r="F171" s="322"/>
      <c r="G171" s="322"/>
    </row>
    <row r="172" spans="1:7" ht="47.25" hidden="1">
      <c r="A172" s="346">
        <v>921</v>
      </c>
      <c r="B172" s="419"/>
      <c r="C172" s="245"/>
      <c r="D172" s="347" t="s">
        <v>292</v>
      </c>
      <c r="E172" s="499">
        <f>E173</f>
        <v>0</v>
      </c>
      <c r="F172" s="246">
        <f>F173</f>
        <v>0</v>
      </c>
      <c r="G172" s="246">
        <f>G173</f>
        <v>0</v>
      </c>
    </row>
    <row r="173" spans="1:7" ht="15.75" hidden="1">
      <c r="A173" s="247"/>
      <c r="B173" s="420">
        <v>92116</v>
      </c>
      <c r="C173" s="248"/>
      <c r="D173" s="250" t="s">
        <v>293</v>
      </c>
      <c r="E173" s="500">
        <f>SUM(E174)</f>
        <v>0</v>
      </c>
      <c r="F173" s="249"/>
      <c r="G173" s="322">
        <f>SUM(G174)</f>
        <v>0</v>
      </c>
    </row>
    <row r="174" spans="1:7" ht="60" hidden="1">
      <c r="A174" s="304"/>
      <c r="B174" s="412"/>
      <c r="C174" s="304">
        <v>2440</v>
      </c>
      <c r="D174" s="319" t="s">
        <v>611</v>
      </c>
      <c r="E174" s="489">
        <f aca="true" t="shared" si="3" ref="E174:E183">F174+G174</f>
        <v>0</v>
      </c>
      <c r="F174" s="322"/>
      <c r="G174" s="322"/>
    </row>
    <row r="175" spans="1:7" s="303" customFormat="1" ht="31.5">
      <c r="A175" s="300"/>
      <c r="B175" s="411">
        <v>85415</v>
      </c>
      <c r="C175" s="300"/>
      <c r="D175" s="301" t="s">
        <v>797</v>
      </c>
      <c r="E175" s="490">
        <f t="shared" si="3"/>
        <v>15000</v>
      </c>
      <c r="F175" s="324">
        <f>SUM(F176)</f>
        <v>15000</v>
      </c>
      <c r="G175" s="324">
        <f>SUM(G176)</f>
        <v>0</v>
      </c>
    </row>
    <row r="176" spans="1:7" ht="75.75">
      <c r="A176" s="304"/>
      <c r="B176" s="412"/>
      <c r="C176" s="423">
        <v>2330</v>
      </c>
      <c r="D176" s="305" t="s">
        <v>639</v>
      </c>
      <c r="E176" s="489">
        <f t="shared" si="3"/>
        <v>15000</v>
      </c>
      <c r="F176" s="322">
        <v>15000</v>
      </c>
      <c r="G176" s="324"/>
    </row>
    <row r="177" spans="1:7" ht="47.25" hidden="1">
      <c r="A177" s="501">
        <v>921</v>
      </c>
      <c r="B177" s="428"/>
      <c r="C177" s="429"/>
      <c r="D177" s="347" t="s">
        <v>292</v>
      </c>
      <c r="E177" s="489">
        <f t="shared" si="3"/>
        <v>0</v>
      </c>
      <c r="F177" s="306">
        <f>F178</f>
        <v>0</v>
      </c>
      <c r="G177" s="306">
        <f>G178</f>
        <v>0</v>
      </c>
    </row>
    <row r="178" spans="1:7" ht="15.75" hidden="1">
      <c r="A178" s="304"/>
      <c r="B178" s="430">
        <v>92195</v>
      </c>
      <c r="C178" s="431"/>
      <c r="D178" s="250" t="s">
        <v>798</v>
      </c>
      <c r="E178" s="489">
        <f t="shared" si="3"/>
        <v>0</v>
      </c>
      <c r="F178" s="306">
        <f>F179</f>
        <v>0</v>
      </c>
      <c r="G178" s="306">
        <f>G179</f>
        <v>0</v>
      </c>
    </row>
    <row r="179" spans="1:7" ht="90.75" hidden="1">
      <c r="A179" s="304"/>
      <c r="B179" s="422"/>
      <c r="C179" s="423">
        <v>6300</v>
      </c>
      <c r="D179" s="319" t="s">
        <v>658</v>
      </c>
      <c r="E179" s="489">
        <f t="shared" si="3"/>
        <v>0</v>
      </c>
      <c r="F179" s="322"/>
      <c r="G179" s="324"/>
    </row>
    <row r="180" spans="1:7" ht="24">
      <c r="A180" s="609">
        <v>900</v>
      </c>
      <c r="B180" s="609"/>
      <c r="C180" s="610"/>
      <c r="D180" s="611" t="s">
        <v>27</v>
      </c>
      <c r="E180" s="489">
        <f>SUM(E181)</f>
        <v>1589172</v>
      </c>
      <c r="F180" s="489">
        <f>SUM(F181)</f>
        <v>1589172</v>
      </c>
      <c r="G180" s="489">
        <f>SUM(G181)</f>
        <v>0</v>
      </c>
    </row>
    <row r="181" spans="1:7" ht="36">
      <c r="A181" s="612"/>
      <c r="B181" s="612">
        <v>90019</v>
      </c>
      <c r="C181" s="613"/>
      <c r="D181" s="614" t="s">
        <v>28</v>
      </c>
      <c r="E181" s="489">
        <f t="shared" si="3"/>
        <v>1589172</v>
      </c>
      <c r="F181" s="322">
        <f>SUM(F182:F183)</f>
        <v>1589172</v>
      </c>
      <c r="G181" s="322">
        <f>SUM(G182:G183)</f>
        <v>0</v>
      </c>
    </row>
    <row r="182" spans="1:7" ht="15.75">
      <c r="A182" s="612"/>
      <c r="B182" s="612"/>
      <c r="C182" s="594" t="s">
        <v>312</v>
      </c>
      <c r="D182" s="113" t="s">
        <v>32</v>
      </c>
      <c r="E182" s="489">
        <f t="shared" si="3"/>
        <v>915000</v>
      </c>
      <c r="F182" s="485">
        <v>915000</v>
      </c>
      <c r="G182" s="324"/>
    </row>
    <row r="183" spans="1:7" ht="15.75">
      <c r="A183" s="616"/>
      <c r="B183" s="412"/>
      <c r="C183" s="304" t="s">
        <v>636</v>
      </c>
      <c r="D183" s="617" t="s">
        <v>33</v>
      </c>
      <c r="E183" s="489">
        <f t="shared" si="3"/>
        <v>674172</v>
      </c>
      <c r="F183" s="618">
        <v>674172</v>
      </c>
      <c r="G183" s="324"/>
    </row>
    <row r="184" spans="1:7" ht="31.5">
      <c r="A184" s="296"/>
      <c r="B184" s="410"/>
      <c r="C184" s="296"/>
      <c r="D184" s="297" t="s">
        <v>350</v>
      </c>
      <c r="E184" s="324">
        <f>SUM(E10+E15+E29+E36+E46+E68+E75+E88+E109+E112+E137+E160+E18+E172+E58+E177+E180+E61+E64)</f>
        <v>65265977</v>
      </c>
      <c r="F184" s="324">
        <f>SUM(F10+F15+F29+F36+F46+F68+F75+F88+F109+F112+F137+F160+F18+F172+F58+F177+F180+F61+F64)</f>
        <v>59320289</v>
      </c>
      <c r="G184" s="324">
        <f>SUM(G10+G15+G29+G36+G46+G68+G75+G88+G109+G112+G137+G160+G18+G172+G58+G177+G180+G61+G64)</f>
        <v>5945688</v>
      </c>
    </row>
    <row r="187" ht="15">
      <c r="E187" s="284"/>
    </row>
    <row r="189" ht="15">
      <c r="E189" s="284"/>
    </row>
  </sheetData>
  <sheetProtection/>
  <mergeCells count="7">
    <mergeCell ref="E4:G5"/>
    <mergeCell ref="E6:G6"/>
    <mergeCell ref="B1:E1"/>
    <mergeCell ref="A4:A5"/>
    <mergeCell ref="B4:B5"/>
    <mergeCell ref="C4:C5"/>
    <mergeCell ref="D4:D5"/>
  </mergeCells>
  <printOptions horizontalCentered="1"/>
  <pageMargins left="0.5511811023622047" right="0.5511811023622047" top="1.6141732283464567" bottom="0.5905511811023623" header="0.5118110236220472" footer="0.5118110236220472"/>
  <pageSetup horizontalDpi="300" verticalDpi="300" orientation="portrait" paperSize="9" scale="85" r:id="rId1"/>
  <headerFooter alignWithMargins="0">
    <oddHeader>&amp;R&amp;9Załącznik nr 1
do uchwały Rady Powiatu
 nr XXXIV/210/10
z dnia 15.10.2010 r.</oddHeader>
  </headerFooter>
</worksheet>
</file>

<file path=xl/worksheets/sheet10.xml><?xml version="1.0" encoding="utf-8"?>
<worksheet xmlns="http://schemas.openxmlformats.org/spreadsheetml/2006/main" xmlns:r="http://schemas.openxmlformats.org/officeDocument/2006/relationships">
  <dimension ref="A1:K26"/>
  <sheetViews>
    <sheetView zoomScalePageLayoutView="0" workbookViewId="0" topLeftCell="A8">
      <selection activeCell="H20" sqref="H20"/>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816" t="s">
        <v>720</v>
      </c>
      <c r="B1" s="816"/>
      <c r="C1" s="816"/>
      <c r="D1" s="816"/>
      <c r="E1" s="816"/>
      <c r="F1" s="816"/>
      <c r="G1" s="816"/>
      <c r="H1" s="816"/>
      <c r="I1" s="816"/>
      <c r="J1" s="816"/>
    </row>
    <row r="2" spans="1:10" ht="16.5">
      <c r="A2" s="816" t="s">
        <v>163</v>
      </c>
      <c r="B2" s="816"/>
      <c r="C2" s="816"/>
      <c r="D2" s="816"/>
      <c r="E2" s="816"/>
      <c r="F2" s="816"/>
      <c r="G2" s="816"/>
      <c r="H2" s="816"/>
      <c r="I2" s="816"/>
      <c r="J2" s="816"/>
    </row>
    <row r="3" spans="1:10" ht="6" customHeight="1">
      <c r="A3" s="5"/>
      <c r="B3" s="5"/>
      <c r="C3" s="5"/>
      <c r="D3" s="5"/>
      <c r="E3" s="5"/>
      <c r="F3" s="5"/>
      <c r="G3" s="5"/>
      <c r="H3" s="5"/>
      <c r="I3" s="5"/>
      <c r="J3" s="5"/>
    </row>
    <row r="4" spans="1:11" ht="12.75">
      <c r="A4" s="1"/>
      <c r="B4" s="1"/>
      <c r="C4" s="1"/>
      <c r="D4" s="1"/>
      <c r="E4" s="1"/>
      <c r="F4" s="1"/>
      <c r="G4" s="1"/>
      <c r="H4" s="1"/>
      <c r="I4" s="1"/>
      <c r="K4" s="8" t="s">
        <v>704</v>
      </c>
    </row>
    <row r="5" spans="1:11" ht="15" customHeight="1">
      <c r="A5" s="757" t="s">
        <v>721</v>
      </c>
      <c r="B5" s="757" t="s">
        <v>663</v>
      </c>
      <c r="C5" s="743" t="s">
        <v>48</v>
      </c>
      <c r="D5" s="817" t="s">
        <v>732</v>
      </c>
      <c r="E5" s="818"/>
      <c r="F5" s="818"/>
      <c r="G5" s="819"/>
      <c r="H5" s="743" t="s">
        <v>671</v>
      </c>
      <c r="I5" s="743"/>
      <c r="J5" s="743" t="s">
        <v>49</v>
      </c>
      <c r="K5" s="743" t="s">
        <v>164</v>
      </c>
    </row>
    <row r="6" spans="1:11" ht="15" customHeight="1">
      <c r="A6" s="757"/>
      <c r="B6" s="757"/>
      <c r="C6" s="743"/>
      <c r="D6" s="743" t="s">
        <v>670</v>
      </c>
      <c r="E6" s="812" t="s">
        <v>669</v>
      </c>
      <c r="F6" s="813"/>
      <c r="G6" s="814"/>
      <c r="H6" s="743" t="s">
        <v>670</v>
      </c>
      <c r="I6" s="743" t="s">
        <v>724</v>
      </c>
      <c r="J6" s="743"/>
      <c r="K6" s="743"/>
    </row>
    <row r="7" spans="1:11" ht="18" customHeight="1">
      <c r="A7" s="757"/>
      <c r="B7" s="757"/>
      <c r="C7" s="743"/>
      <c r="D7" s="743"/>
      <c r="E7" s="740" t="s">
        <v>50</v>
      </c>
      <c r="F7" s="812" t="s">
        <v>669</v>
      </c>
      <c r="G7" s="814"/>
      <c r="H7" s="743"/>
      <c r="I7" s="743"/>
      <c r="J7" s="743"/>
      <c r="K7" s="743"/>
    </row>
    <row r="8" spans="1:11" ht="42" customHeight="1">
      <c r="A8" s="757"/>
      <c r="B8" s="757"/>
      <c r="C8" s="743"/>
      <c r="D8" s="743"/>
      <c r="E8" s="742"/>
      <c r="F8" s="61" t="s">
        <v>47</v>
      </c>
      <c r="G8" s="61" t="s">
        <v>46</v>
      </c>
      <c r="H8" s="743"/>
      <c r="I8" s="743"/>
      <c r="J8" s="743"/>
      <c r="K8" s="743"/>
    </row>
    <row r="9" spans="1:11" ht="7.5" customHeight="1" thickBot="1">
      <c r="A9" s="208">
        <v>1</v>
      </c>
      <c r="B9" s="208">
        <v>2</v>
      </c>
      <c r="C9" s="208">
        <v>3</v>
      </c>
      <c r="D9" s="208">
        <v>4</v>
      </c>
      <c r="E9" s="208">
        <v>5</v>
      </c>
      <c r="F9" s="208">
        <v>6</v>
      </c>
      <c r="G9" s="208">
        <v>7</v>
      </c>
      <c r="H9" s="208">
        <v>8</v>
      </c>
      <c r="I9" s="208">
        <v>9</v>
      </c>
      <c r="J9" s="208">
        <v>10</v>
      </c>
      <c r="K9" s="208">
        <v>11</v>
      </c>
    </row>
    <row r="10" spans="1:11" s="53" customFormat="1" ht="19.5" customHeight="1" thickBot="1">
      <c r="A10" s="206" t="s">
        <v>673</v>
      </c>
      <c r="B10" s="210" t="s">
        <v>677</v>
      </c>
      <c r="C10" s="207">
        <f>SUM(C12:C14)</f>
        <v>123800</v>
      </c>
      <c r="D10" s="207">
        <f aca="true" t="shared" si="0" ref="D10:J10">SUM(D12:D14)</f>
        <v>2350000</v>
      </c>
      <c r="E10" s="207">
        <f t="shared" si="0"/>
        <v>0</v>
      </c>
      <c r="F10" s="207">
        <f t="shared" si="0"/>
        <v>0</v>
      </c>
      <c r="G10" s="207">
        <f t="shared" si="0"/>
        <v>0</v>
      </c>
      <c r="H10" s="207">
        <f t="shared" si="0"/>
        <v>2275000</v>
      </c>
      <c r="I10" s="207">
        <f t="shared" si="0"/>
        <v>30000</v>
      </c>
      <c r="J10" s="207">
        <f t="shared" si="0"/>
        <v>198800</v>
      </c>
      <c r="K10" s="211">
        <f>SUM(K12:K14)</f>
        <v>30000</v>
      </c>
    </row>
    <row r="11" spans="1:11" ht="19.5" customHeight="1">
      <c r="A11" s="209"/>
      <c r="B11" s="269" t="s">
        <v>738</v>
      </c>
      <c r="C11" s="270"/>
      <c r="D11" s="270"/>
      <c r="E11" s="270"/>
      <c r="F11" s="271"/>
      <c r="G11" s="270"/>
      <c r="H11" s="270"/>
      <c r="I11" s="270"/>
      <c r="J11" s="270"/>
      <c r="K11" s="271"/>
    </row>
    <row r="12" spans="1:11" ht="38.25">
      <c r="A12" s="30"/>
      <c r="B12" s="530" t="s">
        <v>377</v>
      </c>
      <c r="C12" s="105">
        <v>0</v>
      </c>
      <c r="D12" s="105">
        <v>810000</v>
      </c>
      <c r="E12" s="105"/>
      <c r="F12" s="272" t="s">
        <v>710</v>
      </c>
      <c r="G12" s="105"/>
      <c r="H12" s="105">
        <v>810000</v>
      </c>
      <c r="I12" s="105">
        <v>0</v>
      </c>
      <c r="J12" s="239">
        <f>C12+D12-H12</f>
        <v>0</v>
      </c>
      <c r="K12" s="272" t="s">
        <v>710</v>
      </c>
    </row>
    <row r="13" spans="1:11" s="241" customFormat="1" ht="25.5">
      <c r="A13" s="238"/>
      <c r="B13" s="532" t="s">
        <v>647</v>
      </c>
      <c r="C13" s="239">
        <v>1500</v>
      </c>
      <c r="D13" s="239">
        <v>960000</v>
      </c>
      <c r="E13" s="239"/>
      <c r="F13" s="240"/>
      <c r="G13" s="239"/>
      <c r="H13" s="239">
        <v>960000</v>
      </c>
      <c r="I13" s="239">
        <v>0</v>
      </c>
      <c r="J13" s="239">
        <f>C13+D13-H13</f>
        <v>1500</v>
      </c>
      <c r="K13" s="240" t="s">
        <v>710</v>
      </c>
    </row>
    <row r="14" spans="1:11" ht="39" thickBot="1">
      <c r="A14" s="200"/>
      <c r="B14" s="531" t="s">
        <v>646</v>
      </c>
      <c r="C14" s="239">
        <v>122300</v>
      </c>
      <c r="D14" s="239">
        <v>580000</v>
      </c>
      <c r="E14" s="239"/>
      <c r="F14" s="240"/>
      <c r="G14" s="239"/>
      <c r="H14" s="239">
        <f>505000</f>
        <v>505000</v>
      </c>
      <c r="I14" s="239">
        <v>30000</v>
      </c>
      <c r="J14" s="239">
        <f>C14+D14-H14</f>
        <v>197300</v>
      </c>
      <c r="K14" s="132">
        <v>30000</v>
      </c>
    </row>
    <row r="15" spans="1:11" s="53" customFormat="1" ht="26.25" thickBot="1">
      <c r="A15" s="206" t="s">
        <v>678</v>
      </c>
      <c r="B15" s="357" t="s">
        <v>45</v>
      </c>
      <c r="C15" s="359">
        <f>SUM(C17:C20)</f>
        <v>21324</v>
      </c>
      <c r="D15" s="207">
        <f>SUM(D17:D20)</f>
        <v>463000</v>
      </c>
      <c r="E15" s="207">
        <f>SUM(E17:E20)</f>
        <v>0</v>
      </c>
      <c r="F15" s="360" t="s">
        <v>710</v>
      </c>
      <c r="G15" s="360" t="s">
        <v>710</v>
      </c>
      <c r="H15" s="207">
        <f>SUM(H17:H20)</f>
        <v>481324</v>
      </c>
      <c r="I15" s="360"/>
      <c r="J15" s="361">
        <f>SUM(J17:J20)</f>
        <v>3000</v>
      </c>
      <c r="K15" s="358"/>
    </row>
    <row r="16" spans="1:11" ht="19.5" customHeight="1">
      <c r="A16" s="202"/>
      <c r="B16" s="203" t="s">
        <v>738</v>
      </c>
      <c r="C16" s="204"/>
      <c r="D16" s="204"/>
      <c r="E16" s="205"/>
      <c r="F16" s="205"/>
      <c r="G16" s="205"/>
      <c r="H16" s="204"/>
      <c r="I16" s="205"/>
      <c r="J16" s="204"/>
      <c r="K16" s="204"/>
    </row>
    <row r="17" spans="1:11" ht="25.5">
      <c r="A17" s="19"/>
      <c r="B17" s="142" t="s">
        <v>379</v>
      </c>
      <c r="C17" s="129"/>
      <c r="D17" s="129">
        <v>50000</v>
      </c>
      <c r="E17" s="130"/>
      <c r="F17" s="130" t="s">
        <v>710</v>
      </c>
      <c r="G17" s="130" t="s">
        <v>710</v>
      </c>
      <c r="H17" s="129">
        <v>50000</v>
      </c>
      <c r="I17" s="130" t="s">
        <v>710</v>
      </c>
      <c r="J17" s="129"/>
      <c r="K17" s="129"/>
    </row>
    <row r="18" spans="1:11" ht="25.5">
      <c r="A18" s="19"/>
      <c r="B18" s="142" t="s">
        <v>598</v>
      </c>
      <c r="C18" s="129">
        <v>3000</v>
      </c>
      <c r="D18" s="129">
        <v>300000</v>
      </c>
      <c r="E18" s="130"/>
      <c r="F18" s="130" t="s">
        <v>710</v>
      </c>
      <c r="G18" s="130" t="s">
        <v>710</v>
      </c>
      <c r="H18" s="129">
        <v>300000</v>
      </c>
      <c r="I18" s="130" t="s">
        <v>710</v>
      </c>
      <c r="J18" s="201">
        <v>3000</v>
      </c>
      <c r="K18" s="129"/>
    </row>
    <row r="19" spans="1:11" ht="38.25">
      <c r="A19" s="20"/>
      <c r="B19" s="143" t="s">
        <v>648</v>
      </c>
      <c r="C19" s="131">
        <v>18324</v>
      </c>
      <c r="D19" s="131">
        <v>53000</v>
      </c>
      <c r="E19" s="132"/>
      <c r="F19" s="132" t="s">
        <v>710</v>
      </c>
      <c r="G19" s="132" t="s">
        <v>710</v>
      </c>
      <c r="H19" s="131">
        <v>71324</v>
      </c>
      <c r="I19" s="132" t="s">
        <v>710</v>
      </c>
      <c r="J19" s="201">
        <f>C19+D19-H19</f>
        <v>0</v>
      </c>
      <c r="K19" s="131"/>
    </row>
    <row r="20" spans="1:11" ht="25.5">
      <c r="A20" s="20"/>
      <c r="B20" s="143" t="s">
        <v>435</v>
      </c>
      <c r="C20" s="131"/>
      <c r="D20" s="131">
        <v>60000</v>
      </c>
      <c r="E20" s="132"/>
      <c r="F20" s="132" t="s">
        <v>710</v>
      </c>
      <c r="G20" s="132" t="s">
        <v>710</v>
      </c>
      <c r="H20" s="131">
        <v>60000</v>
      </c>
      <c r="I20" s="132" t="s">
        <v>710</v>
      </c>
      <c r="J20" s="201">
        <f>C20+D20-H20</f>
        <v>0</v>
      </c>
      <c r="K20" s="131"/>
    </row>
    <row r="21" spans="1:11" s="53" customFormat="1" ht="19.5" customHeight="1">
      <c r="A21" s="815" t="s">
        <v>784</v>
      </c>
      <c r="B21" s="815"/>
      <c r="C21" s="199">
        <f>C10+C15</f>
        <v>145124</v>
      </c>
      <c r="D21" s="199">
        <f>D10+D15</f>
        <v>2813000</v>
      </c>
      <c r="E21" s="199">
        <f>E10+E15</f>
        <v>0</v>
      </c>
      <c r="F21" s="199"/>
      <c r="G21" s="199"/>
      <c r="H21" s="199">
        <f>H10+H15</f>
        <v>2756324</v>
      </c>
      <c r="I21" s="199">
        <f>I10+I15</f>
        <v>30000</v>
      </c>
      <c r="J21" s="199">
        <f>J10+J15</f>
        <v>201800</v>
      </c>
      <c r="K21" s="199"/>
    </row>
    <row r="22" ht="4.5" customHeight="1"/>
    <row r="23" ht="12.75" customHeight="1">
      <c r="A23" s="62"/>
    </row>
    <row r="24" ht="12.75">
      <c r="A24" s="62"/>
    </row>
    <row r="25" ht="12.75">
      <c r="A25" s="62"/>
    </row>
    <row r="26" ht="12.75">
      <c r="A26" s="62"/>
    </row>
  </sheetData>
  <sheetProtection/>
  <mergeCells count="16">
    <mergeCell ref="A21:B21"/>
    <mergeCell ref="H5:I5"/>
    <mergeCell ref="A1:J1"/>
    <mergeCell ref="A2:J2"/>
    <mergeCell ref="A5:A8"/>
    <mergeCell ref="B5:B8"/>
    <mergeCell ref="C5:C8"/>
    <mergeCell ref="D6:D8"/>
    <mergeCell ref="D5:G5"/>
    <mergeCell ref="E7:E8"/>
    <mergeCell ref="E6:G6"/>
    <mergeCell ref="F7:G7"/>
    <mergeCell ref="K5:K8"/>
    <mergeCell ref="H6:H8"/>
    <mergeCell ref="I6:I8"/>
    <mergeCell ref="J5:J8"/>
  </mergeCells>
  <printOptions horizontalCentered="1"/>
  <pageMargins left="0.5118110236220472" right="0.5118110236220472" top="0.9055118110236221" bottom="0.6299212598425197" header="0.5118110236220472" footer="0.5118110236220472"/>
  <pageSetup horizontalDpi="600" verticalDpi="600" orientation="landscape" paperSize="9" scale="85" r:id="rId1"/>
  <headerFooter alignWithMargins="0">
    <oddHeader>&amp;R&amp;9Załącznik nr 9
do uchwały Rady Powiatu 
nr XXXIV/210/10
z dnia 15.10.2010 r.</oddHeader>
  </headerFooter>
</worksheet>
</file>

<file path=xl/worksheets/sheet11.xml><?xml version="1.0" encoding="utf-8"?>
<worksheet xmlns="http://schemas.openxmlformats.org/spreadsheetml/2006/main" xmlns:r="http://schemas.openxmlformats.org/officeDocument/2006/relationships">
  <dimension ref="A1:CB29"/>
  <sheetViews>
    <sheetView zoomScalePageLayoutView="0" workbookViewId="0" topLeftCell="A1">
      <selection activeCell="D11" sqref="D11"/>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744" t="s">
        <v>662</v>
      </c>
      <c r="B1" s="744"/>
      <c r="C1" s="744"/>
      <c r="D1" s="744"/>
      <c r="E1" s="744"/>
      <c r="F1" s="744"/>
      <c r="G1" s="744"/>
      <c r="H1" s="744"/>
      <c r="I1" s="744"/>
      <c r="J1" s="744"/>
      <c r="K1" s="744"/>
    </row>
    <row r="3" ht="12.75">
      <c r="K3" s="50" t="s">
        <v>704</v>
      </c>
    </row>
    <row r="4" spans="1:80" ht="20.25" customHeight="1">
      <c r="A4" s="757" t="s">
        <v>665</v>
      </c>
      <c r="B4" s="804" t="s">
        <v>666</v>
      </c>
      <c r="C4" s="804" t="s">
        <v>667</v>
      </c>
      <c r="D4" s="743" t="s">
        <v>774</v>
      </c>
      <c r="E4" s="743" t="s">
        <v>371</v>
      </c>
      <c r="F4" s="743" t="s">
        <v>738</v>
      </c>
      <c r="G4" s="743"/>
      <c r="H4" s="743"/>
      <c r="I4" s="743"/>
      <c r="J4" s="743"/>
      <c r="K4" s="743"/>
      <c r="BY4" s="1"/>
      <c r="BZ4" s="1"/>
      <c r="CA4" s="1"/>
      <c r="CB4" s="1"/>
    </row>
    <row r="5" spans="1:80" ht="18" customHeight="1">
      <c r="A5" s="757"/>
      <c r="B5" s="805"/>
      <c r="C5" s="805"/>
      <c r="D5" s="757"/>
      <c r="E5" s="743"/>
      <c r="F5" s="743" t="s">
        <v>772</v>
      </c>
      <c r="G5" s="743" t="s">
        <v>669</v>
      </c>
      <c r="H5" s="743"/>
      <c r="I5" s="743"/>
      <c r="J5" s="14"/>
      <c r="K5" s="743" t="s">
        <v>773</v>
      </c>
      <c r="BY5" s="1"/>
      <c r="BZ5" s="1"/>
      <c r="CA5" s="1"/>
      <c r="CB5" s="1"/>
    </row>
    <row r="6" spans="1:80" ht="69" customHeight="1">
      <c r="A6" s="757"/>
      <c r="B6" s="806"/>
      <c r="C6" s="806"/>
      <c r="D6" s="757"/>
      <c r="E6" s="743"/>
      <c r="F6" s="743"/>
      <c r="G6" s="14" t="s">
        <v>574</v>
      </c>
      <c r="H6" s="14" t="s">
        <v>771</v>
      </c>
      <c r="I6" s="104" t="s">
        <v>370</v>
      </c>
      <c r="J6" s="104" t="s">
        <v>391</v>
      </c>
      <c r="K6" s="743"/>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9.5" customHeight="1">
      <c r="A8" s="74">
        <v>853</v>
      </c>
      <c r="B8" s="107">
        <v>85333</v>
      </c>
      <c r="C8" s="243">
        <v>2007</v>
      </c>
      <c r="D8" s="74">
        <f>1!F144</f>
        <v>156822</v>
      </c>
      <c r="E8" s="696">
        <f>F8+K8</f>
        <v>156822</v>
      </c>
      <c r="F8" s="74">
        <f>D8</f>
        <v>156822</v>
      </c>
      <c r="G8" s="74">
        <f>100800</f>
        <v>100800</v>
      </c>
      <c r="H8" s="74">
        <f>16471+2670</f>
        <v>19141</v>
      </c>
      <c r="I8" s="74">
        <f>8270</f>
        <v>8270</v>
      </c>
      <c r="J8" s="74"/>
      <c r="K8" s="74"/>
      <c r="BY8" s="1"/>
      <c r="BZ8" s="1"/>
      <c r="CA8" s="1"/>
      <c r="CB8" s="1"/>
    </row>
    <row r="9" spans="1:80" ht="19.5" customHeight="1">
      <c r="A9" s="74">
        <v>852</v>
      </c>
      <c r="B9" s="107">
        <v>85202</v>
      </c>
      <c r="C9" s="243">
        <v>6207</v>
      </c>
      <c r="D9" s="74">
        <f>1!E126</f>
        <v>1996614</v>
      </c>
      <c r="E9" s="696">
        <f>D9</f>
        <v>1996614</v>
      </c>
      <c r="F9" s="74"/>
      <c r="G9" s="74"/>
      <c r="H9" s="74"/>
      <c r="I9" s="74"/>
      <c r="J9" s="74"/>
      <c r="K9" s="74">
        <f>E9</f>
        <v>1996614</v>
      </c>
      <c r="BY9" s="1"/>
      <c r="BZ9" s="1"/>
      <c r="CA9" s="1"/>
      <c r="CB9" s="1"/>
    </row>
    <row r="10" spans="1:80" ht="19.5" customHeight="1">
      <c r="A10" s="74">
        <v>853</v>
      </c>
      <c r="B10" s="107">
        <v>85395</v>
      </c>
      <c r="C10" s="107">
        <v>2008</v>
      </c>
      <c r="D10" s="74">
        <f>1!F149</f>
        <v>1543656</v>
      </c>
      <c r="E10" s="696">
        <f aca="true" t="shared" si="0" ref="E10:E15">F10+K10</f>
        <v>1543656</v>
      </c>
      <c r="F10" s="74">
        <f>D10</f>
        <v>1543656</v>
      </c>
      <c r="G10" s="356">
        <v>61887</v>
      </c>
      <c r="H10" s="356">
        <f>37975+6168</f>
        <v>44143</v>
      </c>
      <c r="I10" s="356"/>
      <c r="J10" s="363"/>
      <c r="K10" s="74"/>
      <c r="BY10" s="1"/>
      <c r="BZ10" s="1"/>
      <c r="CA10" s="1"/>
      <c r="CB10" s="1"/>
    </row>
    <row r="11" spans="1:80" ht="19.5" customHeight="1">
      <c r="A11" s="74"/>
      <c r="B11" s="107">
        <v>85395</v>
      </c>
      <c r="C11" s="107">
        <v>2009</v>
      </c>
      <c r="D11" s="74">
        <f>1!F150+1!F154</f>
        <v>464329</v>
      </c>
      <c r="E11" s="696">
        <f t="shared" si="0"/>
        <v>464329</v>
      </c>
      <c r="F11" s="74">
        <f>D11</f>
        <v>464329</v>
      </c>
      <c r="G11" s="356">
        <v>18768</v>
      </c>
      <c r="H11" s="356">
        <f>9463+1520</f>
        <v>10983</v>
      </c>
      <c r="I11" s="356">
        <v>66</v>
      </c>
      <c r="J11" s="363"/>
      <c r="K11" s="74"/>
      <c r="BY11" s="1"/>
      <c r="BZ11" s="1"/>
      <c r="CA11" s="1"/>
      <c r="CB11" s="1"/>
    </row>
    <row r="12" spans="1:80" ht="19.5" customHeight="1">
      <c r="A12" s="74"/>
      <c r="B12" s="107">
        <v>85395</v>
      </c>
      <c r="C12" s="107">
        <v>2007</v>
      </c>
      <c r="D12" s="74">
        <f>1!F153</f>
        <v>1771036</v>
      </c>
      <c r="E12" s="696">
        <f t="shared" si="0"/>
        <v>1771036</v>
      </c>
      <c r="F12" s="74">
        <f>D12</f>
        <v>1771036</v>
      </c>
      <c r="G12" s="356">
        <v>64511</v>
      </c>
      <c r="H12" s="356">
        <f>19331+31</f>
        <v>19362</v>
      </c>
      <c r="I12" s="356">
        <v>1243</v>
      </c>
      <c r="J12" s="363"/>
      <c r="K12" s="74"/>
      <c r="BY12" s="1"/>
      <c r="BZ12" s="1"/>
      <c r="CA12" s="1"/>
      <c r="CB12" s="1"/>
    </row>
    <row r="13" spans="1:80" ht="19.5" customHeight="1">
      <c r="A13" s="74"/>
      <c r="B13" s="107">
        <v>85395</v>
      </c>
      <c r="C13" s="107">
        <v>6207</v>
      </c>
      <c r="D13" s="74">
        <f>1!G156</f>
        <v>10275</v>
      </c>
      <c r="E13" s="696">
        <f t="shared" si="0"/>
        <v>10275</v>
      </c>
      <c r="F13" s="74">
        <v>0</v>
      </c>
      <c r="G13" s="356"/>
      <c r="H13" s="356"/>
      <c r="I13" s="356"/>
      <c r="J13" s="363"/>
      <c r="K13" s="74">
        <f>D13</f>
        <v>10275</v>
      </c>
      <c r="BY13" s="1"/>
      <c r="BZ13" s="1"/>
      <c r="CA13" s="1"/>
      <c r="CB13" s="1"/>
    </row>
    <row r="14" spans="1:80" ht="19.5" customHeight="1">
      <c r="A14" s="74"/>
      <c r="B14" s="107">
        <v>85395</v>
      </c>
      <c r="C14" s="107">
        <v>6208</v>
      </c>
      <c r="D14" s="74">
        <f>1!G157</f>
        <v>3428</v>
      </c>
      <c r="E14" s="696">
        <f t="shared" si="0"/>
        <v>3428</v>
      </c>
      <c r="F14" s="74">
        <v>0</v>
      </c>
      <c r="G14" s="356"/>
      <c r="H14" s="356"/>
      <c r="I14" s="356"/>
      <c r="J14" s="363"/>
      <c r="K14" s="74">
        <f>D14</f>
        <v>3428</v>
      </c>
      <c r="BY14" s="1"/>
      <c r="BZ14" s="1"/>
      <c r="CA14" s="1"/>
      <c r="CB14" s="1"/>
    </row>
    <row r="15" spans="1:80" ht="19.5" customHeight="1">
      <c r="A15" s="74"/>
      <c r="B15" s="107">
        <v>85395</v>
      </c>
      <c r="C15" s="107">
        <v>6209</v>
      </c>
      <c r="D15" s="74">
        <f>1!G158</f>
        <v>605</v>
      </c>
      <c r="E15" s="696">
        <f t="shared" si="0"/>
        <v>605</v>
      </c>
      <c r="F15" s="74">
        <v>0</v>
      </c>
      <c r="G15" s="356"/>
      <c r="H15" s="356"/>
      <c r="I15" s="356"/>
      <c r="J15" s="363"/>
      <c r="K15" s="74">
        <f>D15</f>
        <v>605</v>
      </c>
      <c r="BY15" s="1"/>
      <c r="BZ15" s="1"/>
      <c r="CA15" s="1"/>
      <c r="CB15" s="1"/>
    </row>
    <row r="16" spans="1:80" ht="19.5" customHeight="1" hidden="1">
      <c r="A16" s="74"/>
      <c r="B16" s="107">
        <v>85395</v>
      </c>
      <c r="C16" s="107">
        <v>2008</v>
      </c>
      <c r="D16" s="74"/>
      <c r="E16" s="74"/>
      <c r="F16" s="74"/>
      <c r="G16" s="74"/>
      <c r="H16" s="74"/>
      <c r="I16" s="74"/>
      <c r="J16" s="74"/>
      <c r="K16" s="74"/>
      <c r="BY16" s="1"/>
      <c r="BZ16" s="1"/>
      <c r="CA16" s="1"/>
      <c r="CB16" s="1"/>
    </row>
    <row r="17" spans="1:80" ht="19.5" customHeight="1" hidden="1">
      <c r="A17" s="74"/>
      <c r="B17" s="107">
        <v>85395</v>
      </c>
      <c r="C17" s="107">
        <v>2009</v>
      </c>
      <c r="D17" s="74"/>
      <c r="E17" s="74"/>
      <c r="F17" s="74"/>
      <c r="G17" s="74"/>
      <c r="H17" s="74"/>
      <c r="I17" s="74"/>
      <c r="J17" s="74"/>
      <c r="K17" s="74"/>
      <c r="BY17" s="1"/>
      <c r="BZ17" s="1"/>
      <c r="CA17" s="1"/>
      <c r="CB17" s="1"/>
    </row>
    <row r="18" spans="1:80" ht="19.5" customHeight="1" hidden="1">
      <c r="A18" s="74"/>
      <c r="B18" s="107">
        <v>85395</v>
      </c>
      <c r="C18" s="107">
        <v>6208</v>
      </c>
      <c r="D18" s="74"/>
      <c r="E18" s="74"/>
      <c r="F18" s="74"/>
      <c r="G18" s="74"/>
      <c r="H18" s="74"/>
      <c r="I18" s="74"/>
      <c r="J18" s="74"/>
      <c r="K18" s="74"/>
      <c r="BY18" s="1"/>
      <c r="BZ18" s="1"/>
      <c r="CA18" s="1"/>
      <c r="CB18" s="1"/>
    </row>
    <row r="19" spans="1:80" ht="19.5" customHeight="1" hidden="1">
      <c r="A19" s="74"/>
      <c r="B19" s="107">
        <v>85395</v>
      </c>
      <c r="C19" s="107">
        <v>6209</v>
      </c>
      <c r="D19" s="74"/>
      <c r="E19" s="74"/>
      <c r="F19" s="74"/>
      <c r="G19" s="74"/>
      <c r="H19" s="74"/>
      <c r="I19" s="74"/>
      <c r="J19" s="74"/>
      <c r="K19" s="74"/>
      <c r="BY19" s="1"/>
      <c r="BZ19" s="1"/>
      <c r="CA19" s="1"/>
      <c r="CB19" s="1"/>
    </row>
    <row r="20" spans="1:80" ht="19.5" customHeight="1" hidden="1">
      <c r="A20" s="74">
        <v>854</v>
      </c>
      <c r="B20" s="107">
        <v>85415</v>
      </c>
      <c r="C20" s="107">
        <v>2330</v>
      </c>
      <c r="D20" s="74"/>
      <c r="E20" s="74"/>
      <c r="F20" s="74"/>
      <c r="G20" s="74"/>
      <c r="H20" s="74"/>
      <c r="I20" s="74"/>
      <c r="J20" s="74"/>
      <c r="K20" s="74"/>
      <c r="BY20" s="1"/>
      <c r="BZ20" s="1"/>
      <c r="CA20" s="1"/>
      <c r="CB20" s="1"/>
    </row>
    <row r="21" spans="1:80" ht="19.5" customHeight="1" hidden="1">
      <c r="A21" s="74"/>
      <c r="B21" s="107"/>
      <c r="C21" s="107"/>
      <c r="D21" s="74"/>
      <c r="E21" s="74"/>
      <c r="F21" s="74"/>
      <c r="G21" s="74"/>
      <c r="H21" s="74"/>
      <c r="I21" s="74"/>
      <c r="J21" s="74"/>
      <c r="K21" s="74"/>
      <c r="BY21" s="1"/>
      <c r="BZ21" s="1"/>
      <c r="CA21" s="1"/>
      <c r="CB21" s="1"/>
    </row>
    <row r="22" spans="1:80" ht="19.5" customHeight="1" hidden="1">
      <c r="A22" s="74">
        <v>921</v>
      </c>
      <c r="B22" s="107">
        <v>92195</v>
      </c>
      <c r="C22" s="107">
        <v>2008</v>
      </c>
      <c r="D22" s="74"/>
      <c r="E22" s="74"/>
      <c r="F22" s="74"/>
      <c r="G22" s="74"/>
      <c r="H22" s="74"/>
      <c r="I22" s="74"/>
      <c r="J22" s="362"/>
      <c r="K22" s="74"/>
      <c r="BY22" s="1"/>
      <c r="BZ22" s="1"/>
      <c r="CA22" s="1"/>
      <c r="CB22" s="1"/>
    </row>
    <row r="23" spans="1:76" s="110" customFormat="1" ht="24.75" customHeight="1">
      <c r="A23" s="809" t="s">
        <v>784</v>
      </c>
      <c r="B23" s="810"/>
      <c r="C23" s="811"/>
      <c r="D23" s="109">
        <f aca="true" t="shared" si="1" ref="D23:K23">SUM(D8:D22)</f>
        <v>5946765</v>
      </c>
      <c r="E23" s="109">
        <f t="shared" si="1"/>
        <v>5946765</v>
      </c>
      <c r="F23" s="109">
        <f t="shared" si="1"/>
        <v>3935843</v>
      </c>
      <c r="G23" s="109">
        <f t="shared" si="1"/>
        <v>245966</v>
      </c>
      <c r="H23" s="109">
        <f t="shared" si="1"/>
        <v>93629</v>
      </c>
      <c r="I23" s="109">
        <f t="shared" si="1"/>
        <v>9579</v>
      </c>
      <c r="J23" s="109">
        <f t="shared" si="1"/>
        <v>0</v>
      </c>
      <c r="K23" s="109">
        <f t="shared" si="1"/>
        <v>2010922</v>
      </c>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row>
    <row r="28" ht="12.75">
      <c r="I28" s="73"/>
    </row>
    <row r="29" ht="12.75">
      <c r="I29" s="73"/>
    </row>
  </sheetData>
  <sheetProtection/>
  <mergeCells count="11">
    <mergeCell ref="A23:C23"/>
    <mergeCell ref="E4:E6"/>
    <mergeCell ref="A4:A6"/>
    <mergeCell ref="B4:B6"/>
    <mergeCell ref="C4:C6"/>
    <mergeCell ref="D4:D6"/>
    <mergeCell ref="A1:K1"/>
    <mergeCell ref="F4:K4"/>
    <mergeCell ref="F5:F6"/>
    <mergeCell ref="G5:I5"/>
    <mergeCell ref="K5:K6"/>
  </mergeCells>
  <printOptions horizontalCentered="1"/>
  <pageMargins left="0.3937007874015748" right="0.3937007874015748" top="1.220472440944882" bottom="0.984251968503937" header="0.5118110236220472" footer="0.5118110236220472"/>
  <pageSetup horizontalDpi="600" verticalDpi="600" orientation="landscape" paperSize="9" scale="95" r:id="rId1"/>
  <headerFooter alignWithMargins="0">
    <oddHeader>&amp;R&amp;9Załącznik nr 10
do uchwały Rady Powiatu 
nr XXXIV/210/10
z dnia 15.10.2010 r.</oddHeader>
  </headerFooter>
</worksheet>
</file>

<file path=xl/worksheets/sheet12.xml><?xml version="1.0" encoding="utf-8"?>
<worksheet xmlns="http://schemas.openxmlformats.org/spreadsheetml/2006/main" xmlns:r="http://schemas.openxmlformats.org/officeDocument/2006/relationships">
  <dimension ref="A1:IV7"/>
  <sheetViews>
    <sheetView zoomScalePageLayoutView="0" workbookViewId="0" topLeftCell="A1">
      <selection activeCell="F6" sqref="F6"/>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67" customWidth="1"/>
    <col min="7" max="16384" width="9.125" style="1" customWidth="1"/>
  </cols>
  <sheetData>
    <row r="1" spans="1:6" ht="19.5" customHeight="1">
      <c r="A1" s="820" t="s">
        <v>176</v>
      </c>
      <c r="B1" s="820"/>
      <c r="C1" s="820"/>
      <c r="D1" s="820"/>
      <c r="E1" s="820"/>
      <c r="F1" s="820"/>
    </row>
    <row r="2" spans="5:6" ht="19.5" customHeight="1">
      <c r="E2" s="5"/>
      <c r="F2" s="101"/>
    </row>
    <row r="3" ht="19.5" customHeight="1">
      <c r="F3" s="102" t="s">
        <v>704</v>
      </c>
    </row>
    <row r="4" spans="1:6" ht="19.5" customHeight="1">
      <c r="A4" s="13" t="s">
        <v>721</v>
      </c>
      <c r="B4" s="13" t="s">
        <v>665</v>
      </c>
      <c r="C4" s="13" t="s">
        <v>666</v>
      </c>
      <c r="D4" s="13" t="s">
        <v>790</v>
      </c>
      <c r="E4" s="13" t="s">
        <v>707</v>
      </c>
      <c r="F4" s="103" t="s">
        <v>706</v>
      </c>
    </row>
    <row r="5" spans="1:6" ht="7.5" customHeight="1">
      <c r="A5" s="16">
        <v>1</v>
      </c>
      <c r="B5" s="16">
        <v>2</v>
      </c>
      <c r="C5" s="16">
        <v>3</v>
      </c>
      <c r="D5" s="16">
        <v>4</v>
      </c>
      <c r="E5" s="16">
        <v>5</v>
      </c>
      <c r="F5" s="86">
        <v>6</v>
      </c>
    </row>
    <row r="6" spans="1:6" ht="76.5">
      <c r="A6" s="24">
        <v>1</v>
      </c>
      <c r="B6" s="24">
        <v>801</v>
      </c>
      <c r="C6" s="24">
        <v>80120</v>
      </c>
      <c r="D6" s="24">
        <v>2540</v>
      </c>
      <c r="E6" s="424" t="s">
        <v>177</v>
      </c>
      <c r="F6" s="92">
        <f>2!O269</f>
        <v>0</v>
      </c>
    </row>
    <row r="7" spans="1:256" s="110" customFormat="1" ht="30" customHeight="1">
      <c r="A7" s="821" t="s">
        <v>784</v>
      </c>
      <c r="B7" s="822"/>
      <c r="C7" s="822"/>
      <c r="D7" s="822"/>
      <c r="E7" s="823"/>
      <c r="F7" s="108">
        <f>SUM(F6)</f>
        <v>0</v>
      </c>
      <c r="IV7" s="111">
        <f>SUM(F7:IU7)</f>
        <v>0</v>
      </c>
    </row>
  </sheetData>
  <sheetProtection/>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3.xml><?xml version="1.0" encoding="utf-8"?>
<worksheet xmlns="http://schemas.openxmlformats.org/spreadsheetml/2006/main" xmlns:r="http://schemas.openxmlformats.org/officeDocument/2006/relationships">
  <dimension ref="A1:H27"/>
  <sheetViews>
    <sheetView zoomScalePageLayoutView="0" workbookViewId="0" topLeftCell="A1">
      <selection activeCell="F25" sqref="F25"/>
    </sheetView>
  </sheetViews>
  <sheetFormatPr defaultColWidth="9.00390625" defaultRowHeight="12.75"/>
  <cols>
    <col min="1" max="1" width="3.125" style="0" customWidth="1"/>
    <col min="2" max="2" width="5.00390625" style="0" customWidth="1"/>
    <col min="3" max="3" width="7.00390625" style="0" customWidth="1"/>
    <col min="4" max="4" width="5.00390625" style="0" customWidth="1"/>
    <col min="5" max="5" width="29.375" style="549" customWidth="1"/>
    <col min="6" max="6" width="12.375" style="99" customWidth="1"/>
    <col min="7" max="7" width="12.375" style="236" customWidth="1"/>
    <col min="8" max="8" width="11.625" style="236" customWidth="1"/>
  </cols>
  <sheetData>
    <row r="1" spans="1:6" ht="48.75" customHeight="1">
      <c r="A1" s="744" t="s">
        <v>180</v>
      </c>
      <c r="B1" s="744"/>
      <c r="C1" s="744"/>
      <c r="D1" s="744"/>
      <c r="E1" s="744"/>
      <c r="F1" s="744"/>
    </row>
    <row r="2" spans="5:6" ht="19.5" customHeight="1">
      <c r="E2" s="547"/>
      <c r="F2" s="97"/>
    </row>
    <row r="3" spans="5:6" ht="19.5" customHeight="1">
      <c r="E3" s="547"/>
      <c r="F3" s="98" t="s">
        <v>704</v>
      </c>
    </row>
    <row r="4" spans="1:8" ht="19.5" customHeight="1">
      <c r="A4" s="543"/>
      <c r="B4" s="543"/>
      <c r="C4" s="543"/>
      <c r="D4" s="543"/>
      <c r="E4" s="548"/>
      <c r="F4" s="825" t="s">
        <v>187</v>
      </c>
      <c r="G4" s="826"/>
      <c r="H4" s="827"/>
    </row>
    <row r="5" spans="1:8" ht="90.75" customHeight="1">
      <c r="A5" s="13" t="s">
        <v>721</v>
      </c>
      <c r="B5" s="538" t="s">
        <v>665</v>
      </c>
      <c r="C5" s="538" t="s">
        <v>666</v>
      </c>
      <c r="D5" s="13" t="s">
        <v>788</v>
      </c>
      <c r="E5" s="538" t="s">
        <v>705</v>
      </c>
      <c r="F5" s="542" t="s">
        <v>181</v>
      </c>
      <c r="G5" s="539" t="s">
        <v>185</v>
      </c>
      <c r="H5" s="539" t="s">
        <v>186</v>
      </c>
    </row>
    <row r="6" spans="1:8" s="58" customFormat="1" ht="7.5" customHeight="1">
      <c r="A6" s="16">
        <v>1</v>
      </c>
      <c r="B6" s="16">
        <v>2</v>
      </c>
      <c r="C6" s="16">
        <v>3</v>
      </c>
      <c r="D6" s="16">
        <v>4</v>
      </c>
      <c r="E6" s="219">
        <v>5</v>
      </c>
      <c r="F6" s="86">
        <v>6</v>
      </c>
      <c r="G6" s="544">
        <v>7</v>
      </c>
      <c r="H6" s="544">
        <v>8</v>
      </c>
    </row>
    <row r="7" spans="1:8" ht="168.75">
      <c r="A7" s="75">
        <v>1</v>
      </c>
      <c r="B7" s="75" t="s">
        <v>91</v>
      </c>
      <c r="C7" s="75" t="s">
        <v>96</v>
      </c>
      <c r="D7" s="75">
        <v>2830</v>
      </c>
      <c r="E7" s="79" t="s">
        <v>184</v>
      </c>
      <c r="F7" s="100">
        <f>H7+G7</f>
        <v>49680</v>
      </c>
      <c r="G7" s="545"/>
      <c r="H7" s="545">
        <f>2!F17</f>
        <v>49680</v>
      </c>
    </row>
    <row r="8" spans="1:8" ht="72">
      <c r="A8" s="75">
        <v>2</v>
      </c>
      <c r="B8" s="75">
        <v>754</v>
      </c>
      <c r="C8" s="75">
        <v>75495</v>
      </c>
      <c r="D8" s="75">
        <v>2320</v>
      </c>
      <c r="E8" s="677" t="s">
        <v>535</v>
      </c>
      <c r="F8" s="100">
        <f>2!E223</f>
        <v>65600</v>
      </c>
      <c r="G8" s="545">
        <f>2!F223</f>
        <v>65600</v>
      </c>
      <c r="H8" s="546"/>
    </row>
    <row r="9" spans="1:8" ht="72">
      <c r="A9" s="75">
        <v>3</v>
      </c>
      <c r="B9" s="75">
        <v>801</v>
      </c>
      <c r="C9" s="75">
        <v>80130</v>
      </c>
      <c r="D9" s="75">
        <v>2330</v>
      </c>
      <c r="E9" s="608" t="s">
        <v>113</v>
      </c>
      <c r="F9" s="100">
        <f>2!O281</f>
        <v>30000</v>
      </c>
      <c r="G9" s="545">
        <f aca="true" t="shared" si="0" ref="G9:G14">F9</f>
        <v>30000</v>
      </c>
      <c r="H9" s="546"/>
    </row>
    <row r="10" spans="1:8" ht="72">
      <c r="A10" s="425">
        <v>4</v>
      </c>
      <c r="B10" s="75">
        <v>801</v>
      </c>
      <c r="C10" s="75">
        <v>80130</v>
      </c>
      <c r="D10" s="75">
        <v>2320</v>
      </c>
      <c r="E10" s="677" t="s">
        <v>535</v>
      </c>
      <c r="F10" s="100">
        <f>2!O282</f>
        <v>10000</v>
      </c>
      <c r="G10" s="545">
        <f t="shared" si="0"/>
        <v>10000</v>
      </c>
      <c r="H10" s="546"/>
    </row>
    <row r="11" spans="1:8" ht="67.5">
      <c r="A11" s="425">
        <v>5</v>
      </c>
      <c r="B11" s="75">
        <v>801</v>
      </c>
      <c r="C11" s="75">
        <v>80146</v>
      </c>
      <c r="D11" s="75">
        <v>2310</v>
      </c>
      <c r="E11" s="79" t="s">
        <v>179</v>
      </c>
      <c r="F11" s="100">
        <f>2!O345</f>
        <v>7350</v>
      </c>
      <c r="G11" s="545">
        <f t="shared" si="0"/>
        <v>7350</v>
      </c>
      <c r="H11" s="546"/>
    </row>
    <row r="12" spans="1:8" ht="146.25">
      <c r="A12" s="75">
        <v>6</v>
      </c>
      <c r="B12" s="75">
        <v>852</v>
      </c>
      <c r="C12" s="75">
        <v>85201</v>
      </c>
      <c r="D12" s="75">
        <v>2320</v>
      </c>
      <c r="E12" s="79" t="s">
        <v>599</v>
      </c>
      <c r="F12" s="100">
        <f>2!O422</f>
        <v>367000</v>
      </c>
      <c r="G12" s="546">
        <f t="shared" si="0"/>
        <v>367000</v>
      </c>
      <c r="H12" s="546"/>
    </row>
    <row r="13" spans="1:8" ht="123.75">
      <c r="A13" s="75">
        <v>7</v>
      </c>
      <c r="B13" s="75">
        <v>852</v>
      </c>
      <c r="C13" s="75">
        <v>85204</v>
      </c>
      <c r="D13" s="75">
        <v>2320</v>
      </c>
      <c r="E13" s="79" t="s">
        <v>602</v>
      </c>
      <c r="F13" s="100">
        <f>2!O505</f>
        <v>195754</v>
      </c>
      <c r="G13" s="546">
        <f t="shared" si="0"/>
        <v>195754</v>
      </c>
      <c r="H13" s="546"/>
    </row>
    <row r="14" spans="1:8" ht="112.5">
      <c r="A14" s="75">
        <v>8</v>
      </c>
      <c r="B14" s="75">
        <v>853</v>
      </c>
      <c r="C14" s="75">
        <v>85311</v>
      </c>
      <c r="D14" s="75">
        <v>2320</v>
      </c>
      <c r="E14" s="79" t="s">
        <v>536</v>
      </c>
      <c r="F14" s="100">
        <f>2!O557</f>
        <v>22194</v>
      </c>
      <c r="G14" s="546">
        <f t="shared" si="0"/>
        <v>22194</v>
      </c>
      <c r="H14" s="546"/>
    </row>
    <row r="15" spans="1:8" ht="146.25" hidden="1">
      <c r="A15" s="75">
        <v>9</v>
      </c>
      <c r="B15" s="75"/>
      <c r="C15" s="75">
        <v>85395</v>
      </c>
      <c r="D15" s="280" t="s">
        <v>434</v>
      </c>
      <c r="E15" s="79" t="s">
        <v>806</v>
      </c>
      <c r="F15" s="100">
        <f>2!O613+2!O611</f>
        <v>0</v>
      </c>
      <c r="G15" s="546"/>
      <c r="H15" s="546"/>
    </row>
    <row r="16" spans="1:8" ht="137.25" customHeight="1" hidden="1">
      <c r="A16" s="75">
        <v>10</v>
      </c>
      <c r="B16" s="75"/>
      <c r="C16" s="75"/>
      <c r="D16" s="281" t="s">
        <v>433</v>
      </c>
      <c r="E16" s="79" t="s">
        <v>806</v>
      </c>
      <c r="F16" s="100">
        <f>2!O614+2!O612</f>
        <v>0</v>
      </c>
      <c r="G16" s="546"/>
      <c r="H16" s="546"/>
    </row>
    <row r="17" spans="1:8" ht="213.75">
      <c r="A17" s="75">
        <v>11</v>
      </c>
      <c r="B17" s="75">
        <v>854</v>
      </c>
      <c r="C17" s="75">
        <v>85406</v>
      </c>
      <c r="D17" s="75">
        <v>2310</v>
      </c>
      <c r="E17" s="79" t="s">
        <v>600</v>
      </c>
      <c r="F17" s="100">
        <f>2!O677</f>
        <v>304720</v>
      </c>
      <c r="G17" s="546">
        <f>F17</f>
        <v>304720</v>
      </c>
      <c r="H17" s="546"/>
    </row>
    <row r="18" spans="1:8" ht="90">
      <c r="A18" s="75">
        <v>12</v>
      </c>
      <c r="B18" s="75"/>
      <c r="C18" s="75">
        <v>92116</v>
      </c>
      <c r="D18" s="75">
        <v>2310</v>
      </c>
      <c r="E18" s="79" t="s">
        <v>601</v>
      </c>
      <c r="F18" s="100">
        <f>2!O749</f>
        <v>76000</v>
      </c>
      <c r="G18" s="546">
        <f>F18</f>
        <v>76000</v>
      </c>
      <c r="H18" s="546"/>
    </row>
    <row r="19" spans="1:8" ht="45">
      <c r="A19" s="75">
        <v>13</v>
      </c>
      <c r="B19" s="75"/>
      <c r="C19" s="75">
        <v>92108</v>
      </c>
      <c r="D19" s="75">
        <v>2820</v>
      </c>
      <c r="E19" s="79" t="s">
        <v>583</v>
      </c>
      <c r="F19" s="100">
        <f>2!O747</f>
        <v>5200</v>
      </c>
      <c r="G19" s="546"/>
      <c r="H19" s="546">
        <f>F19</f>
        <v>5200</v>
      </c>
    </row>
    <row r="20" spans="1:8" ht="45">
      <c r="A20" s="75">
        <v>14</v>
      </c>
      <c r="B20" s="75"/>
      <c r="C20" s="75">
        <v>92195</v>
      </c>
      <c r="D20" s="75">
        <v>2810</v>
      </c>
      <c r="E20" s="79" t="s">
        <v>36</v>
      </c>
      <c r="F20" s="100">
        <f>2!O752</f>
        <v>1800</v>
      </c>
      <c r="G20" s="546"/>
      <c r="H20" s="546">
        <f>F20</f>
        <v>1800</v>
      </c>
    </row>
    <row r="21" spans="1:8" ht="45">
      <c r="A21" s="75">
        <v>14</v>
      </c>
      <c r="B21" s="75"/>
      <c r="C21" s="75">
        <v>92195</v>
      </c>
      <c r="D21" s="75">
        <v>2820</v>
      </c>
      <c r="E21" s="79" t="s">
        <v>583</v>
      </c>
      <c r="F21" s="100">
        <f>2!O753</f>
        <v>7000</v>
      </c>
      <c r="G21" s="546"/>
      <c r="H21" s="546">
        <f>F21</f>
        <v>7000</v>
      </c>
    </row>
    <row r="22" spans="1:8" ht="45">
      <c r="A22" s="75">
        <v>15</v>
      </c>
      <c r="B22" s="75">
        <v>900</v>
      </c>
      <c r="C22" s="75">
        <v>90019</v>
      </c>
      <c r="D22" s="75">
        <v>2810</v>
      </c>
      <c r="E22" s="79" t="s">
        <v>36</v>
      </c>
      <c r="F22" s="100">
        <f>SUM(G22:H22)</f>
        <v>16000</v>
      </c>
      <c r="G22" s="546"/>
      <c r="H22" s="546">
        <f>2!O734</f>
        <v>16000</v>
      </c>
    </row>
    <row r="23" spans="1:8" ht="45">
      <c r="A23" s="75">
        <v>16</v>
      </c>
      <c r="B23" s="75">
        <v>900</v>
      </c>
      <c r="C23" s="75">
        <v>90019</v>
      </c>
      <c r="D23" s="75">
        <v>2820</v>
      </c>
      <c r="E23" s="79" t="s">
        <v>583</v>
      </c>
      <c r="F23" s="100">
        <f>SUM(G23:H23)</f>
        <v>24000</v>
      </c>
      <c r="G23" s="546"/>
      <c r="H23" s="546">
        <f>2!O735</f>
        <v>24000</v>
      </c>
    </row>
    <row r="24" spans="1:8" ht="45">
      <c r="A24" s="75">
        <v>17</v>
      </c>
      <c r="B24" s="75">
        <v>926</v>
      </c>
      <c r="C24" s="75">
        <v>92605</v>
      </c>
      <c r="D24" s="75">
        <v>2820</v>
      </c>
      <c r="E24" s="79" t="s">
        <v>583</v>
      </c>
      <c r="F24" s="100">
        <f>2!O766</f>
        <v>50000</v>
      </c>
      <c r="G24" s="546"/>
      <c r="H24" s="546">
        <f>F24</f>
        <v>50000</v>
      </c>
    </row>
    <row r="25" spans="1:8" s="53" customFormat="1" ht="30" customHeight="1">
      <c r="A25" s="803" t="s">
        <v>784</v>
      </c>
      <c r="B25" s="803"/>
      <c r="C25" s="803"/>
      <c r="D25" s="803"/>
      <c r="E25" s="803"/>
      <c r="F25" s="112">
        <f>SUM(F7:F24)</f>
        <v>1232298</v>
      </c>
      <c r="G25" s="112">
        <f>SUM(G7:G24)</f>
        <v>1078618</v>
      </c>
      <c r="H25" s="112">
        <f>SUM(H7:H24)</f>
        <v>153680</v>
      </c>
    </row>
    <row r="26" spans="1:8" ht="12.75">
      <c r="A26" s="824" t="s">
        <v>396</v>
      </c>
      <c r="B26" s="824"/>
      <c r="C26" s="824"/>
      <c r="D26" s="824"/>
      <c r="E26" s="824"/>
      <c r="F26" s="540">
        <f>F15+F16</f>
        <v>0</v>
      </c>
      <c r="G26" s="828"/>
      <c r="H26" s="829"/>
    </row>
    <row r="27" spans="1:8" ht="12.75">
      <c r="A27" s="824"/>
      <c r="B27" s="824"/>
      <c r="C27" s="824"/>
      <c r="D27" s="824"/>
      <c r="E27" s="824"/>
      <c r="F27" s="541"/>
      <c r="G27" s="830"/>
      <c r="H27" s="831"/>
    </row>
  </sheetData>
  <sheetProtection/>
  <mergeCells count="5">
    <mergeCell ref="A1:F1"/>
    <mergeCell ref="A25:E25"/>
    <mergeCell ref="A26:E27"/>
    <mergeCell ref="F4:H4"/>
    <mergeCell ref="G26:H27"/>
  </mergeCells>
  <printOptions horizontalCentered="1"/>
  <pageMargins left="0.3937007874015748" right="0.3937007874015748" top="1.6535433070866143" bottom="0.984251968503937" header="0.5118110236220472" footer="0.5118110236220472"/>
  <pageSetup horizontalDpi="600" verticalDpi="600" orientation="portrait" paperSize="9" scale="95" r:id="rId1"/>
  <headerFooter alignWithMargins="0">
    <oddHeader>&amp;R&amp;9Załącznik nr 12
do uchwały Rady Powiatu 
nr XXXIV/210/10
z dnia 15.10.2010 r.</oddHeader>
  </headerFooter>
</worksheet>
</file>

<file path=xl/worksheets/sheet14.xml><?xml version="1.0" encoding="utf-8"?>
<worksheet xmlns="http://schemas.openxmlformats.org/spreadsheetml/2006/main" xmlns:r="http://schemas.openxmlformats.org/officeDocument/2006/relationships">
  <dimension ref="A1:J28"/>
  <sheetViews>
    <sheetView zoomScalePageLayoutView="0" workbookViewId="0" topLeftCell="A2">
      <selection activeCell="C8" sqref="C8"/>
    </sheetView>
  </sheetViews>
  <sheetFormatPr defaultColWidth="9.00390625" defaultRowHeight="12.75"/>
  <cols>
    <col min="1" max="1" width="5.25390625" style="1" bestFit="1" customWidth="1"/>
    <col min="2" max="2" width="63.125" style="1" customWidth="1"/>
    <col min="3" max="3" width="17.75390625" style="72" customWidth="1"/>
    <col min="4" max="16384" width="9.125" style="1" customWidth="1"/>
  </cols>
  <sheetData>
    <row r="1" spans="1:10" ht="19.5" customHeight="1">
      <c r="A1" s="832" t="s">
        <v>85</v>
      </c>
      <c r="B1" s="832"/>
      <c r="C1" s="832"/>
      <c r="D1" s="5"/>
      <c r="E1" s="5"/>
      <c r="F1" s="5"/>
      <c r="G1" s="5"/>
      <c r="H1" s="5"/>
      <c r="I1" s="5"/>
      <c r="J1" s="5"/>
    </row>
    <row r="2" spans="1:7" ht="19.5" customHeight="1">
      <c r="A2" s="832" t="s">
        <v>708</v>
      </c>
      <c r="B2" s="832"/>
      <c r="C2" s="832"/>
      <c r="D2" s="5"/>
      <c r="E2" s="5"/>
      <c r="F2" s="5"/>
      <c r="G2" s="5"/>
    </row>
    <row r="5" ht="12.75">
      <c r="C5" s="68" t="s">
        <v>704</v>
      </c>
    </row>
    <row r="6" spans="1:10" ht="19.5" customHeight="1">
      <c r="A6" s="13" t="s">
        <v>721</v>
      </c>
      <c r="B6" s="13" t="s">
        <v>663</v>
      </c>
      <c r="C6" s="69" t="s">
        <v>159</v>
      </c>
      <c r="D6" s="6"/>
      <c r="E6" s="6"/>
      <c r="F6" s="6"/>
      <c r="G6" s="6"/>
      <c r="H6" s="6"/>
      <c r="I6" s="7"/>
      <c r="J6" s="7"/>
    </row>
    <row r="7" spans="1:10" ht="19.5" customHeight="1">
      <c r="A7" s="21" t="s">
        <v>673</v>
      </c>
      <c r="B7" s="31" t="s">
        <v>723</v>
      </c>
      <c r="C7" s="70"/>
      <c r="D7" s="6"/>
      <c r="E7" s="6"/>
      <c r="F7" s="6"/>
      <c r="G7" s="6"/>
      <c r="H7" s="6"/>
      <c r="I7" s="7"/>
      <c r="J7" s="7"/>
    </row>
    <row r="8" spans="1:10" ht="19.5" customHeight="1">
      <c r="A8" s="21" t="s">
        <v>678</v>
      </c>
      <c r="B8" s="31" t="s">
        <v>672</v>
      </c>
      <c r="C8" s="70">
        <f>SUM(C9:C10)</f>
        <v>0</v>
      </c>
      <c r="D8" s="6"/>
      <c r="E8" s="6"/>
      <c r="F8" s="6"/>
      <c r="G8" s="6"/>
      <c r="H8" s="6"/>
      <c r="I8" s="7"/>
      <c r="J8" s="7"/>
    </row>
    <row r="9" spans="1:10" ht="19.5" customHeight="1">
      <c r="A9" s="22">
        <v>1</v>
      </c>
      <c r="B9" s="113" t="s">
        <v>300</v>
      </c>
      <c r="C9" s="114"/>
      <c r="D9" s="6"/>
      <c r="E9" s="6"/>
      <c r="F9" s="6"/>
      <c r="G9" s="6"/>
      <c r="H9" s="6"/>
      <c r="I9" s="7"/>
      <c r="J9" s="7"/>
    </row>
    <row r="10" spans="1:10" ht="19.5" customHeight="1">
      <c r="A10" s="22"/>
      <c r="B10" s="113" t="s">
        <v>209</v>
      </c>
      <c r="C10" s="114"/>
      <c r="D10" s="6"/>
      <c r="E10" s="6"/>
      <c r="F10" s="6"/>
      <c r="G10" s="6"/>
      <c r="H10" s="6"/>
      <c r="I10" s="7"/>
      <c r="J10" s="7"/>
    </row>
    <row r="11" spans="1:10" ht="19.5" customHeight="1">
      <c r="A11" s="21" t="s">
        <v>679</v>
      </c>
      <c r="B11" s="31" t="s">
        <v>671</v>
      </c>
      <c r="C11" s="70">
        <f>SUM(C12:C17)</f>
        <v>0</v>
      </c>
      <c r="D11" s="6"/>
      <c r="E11" s="6"/>
      <c r="F11" s="6"/>
      <c r="G11" s="6"/>
      <c r="H11" s="6"/>
      <c r="I11" s="7"/>
      <c r="J11" s="7"/>
    </row>
    <row r="12" spans="1:10" ht="19.5" customHeight="1">
      <c r="A12" s="22">
        <v>1</v>
      </c>
      <c r="B12" s="146" t="s">
        <v>700</v>
      </c>
      <c r="C12" s="114"/>
      <c r="D12" s="6"/>
      <c r="E12" s="6"/>
      <c r="F12" s="6"/>
      <c r="G12" s="6"/>
      <c r="H12" s="6"/>
      <c r="I12" s="7"/>
      <c r="J12" s="7"/>
    </row>
    <row r="13" spans="1:10" ht="39" thickBot="1">
      <c r="A13" s="22">
        <v>2</v>
      </c>
      <c r="B13" s="146" t="s">
        <v>393</v>
      </c>
      <c r="C13" s="114"/>
      <c r="D13" s="6"/>
      <c r="E13" s="6"/>
      <c r="F13" s="6"/>
      <c r="G13" s="6"/>
      <c r="H13" s="6"/>
      <c r="I13" s="7"/>
      <c r="J13" s="7"/>
    </row>
    <row r="14" spans="1:10" ht="15">
      <c r="A14" s="22" t="s">
        <v>580</v>
      </c>
      <c r="B14" s="529" t="s">
        <v>160</v>
      </c>
      <c r="C14" s="114"/>
      <c r="D14" s="6"/>
      <c r="E14" s="6"/>
      <c r="F14" s="6"/>
      <c r="G14" s="6"/>
      <c r="H14" s="6"/>
      <c r="I14" s="7"/>
      <c r="J14" s="7"/>
    </row>
    <row r="15" spans="1:10" ht="25.5">
      <c r="A15" s="22">
        <v>3</v>
      </c>
      <c r="B15" s="146" t="s">
        <v>587</v>
      </c>
      <c r="C15" s="114"/>
      <c r="D15" s="6"/>
      <c r="E15" s="6"/>
      <c r="F15" s="6"/>
      <c r="G15" s="6"/>
      <c r="H15" s="6"/>
      <c r="I15" s="7"/>
      <c r="J15" s="7"/>
    </row>
    <row r="16" spans="1:10" ht="38.25">
      <c r="A16" s="22">
        <v>4</v>
      </c>
      <c r="B16" s="146" t="s">
        <v>415</v>
      </c>
      <c r="C16" s="114"/>
      <c r="D16" s="6"/>
      <c r="E16" s="6"/>
      <c r="F16" s="6"/>
      <c r="G16" s="6"/>
      <c r="H16" s="6"/>
      <c r="I16" s="7"/>
      <c r="J16" s="7"/>
    </row>
    <row r="17" spans="1:10" ht="19.5" customHeight="1">
      <c r="A17" s="22">
        <v>5</v>
      </c>
      <c r="B17" s="146" t="s">
        <v>394</v>
      </c>
      <c r="C17" s="114"/>
      <c r="D17" s="6"/>
      <c r="E17" s="6"/>
      <c r="F17" s="6"/>
      <c r="G17" s="6"/>
      <c r="H17" s="6"/>
      <c r="I17" s="7"/>
      <c r="J17" s="7"/>
    </row>
    <row r="18" spans="1:10" ht="19.5" customHeight="1">
      <c r="A18" s="21" t="s">
        <v>701</v>
      </c>
      <c r="B18" s="31" t="s">
        <v>725</v>
      </c>
      <c r="C18" s="70">
        <f>C7+C8-C11</f>
        <v>0</v>
      </c>
      <c r="D18" s="6"/>
      <c r="E18" s="6"/>
      <c r="F18" s="6"/>
      <c r="G18" s="6"/>
      <c r="H18" s="6"/>
      <c r="I18" s="7"/>
      <c r="J18" s="7"/>
    </row>
    <row r="19" spans="1:10" ht="15">
      <c r="A19" s="6"/>
      <c r="B19" s="6"/>
      <c r="C19" s="71"/>
      <c r="D19" s="6"/>
      <c r="E19" s="6"/>
      <c r="F19" s="6"/>
      <c r="G19" s="6"/>
      <c r="H19" s="6"/>
      <c r="I19" s="7"/>
      <c r="J19" s="7"/>
    </row>
    <row r="20" spans="1:10" ht="15">
      <c r="A20" s="6"/>
      <c r="B20" s="6"/>
      <c r="C20" s="71"/>
      <c r="D20" s="6"/>
      <c r="E20" s="6"/>
      <c r="F20" s="6"/>
      <c r="G20" s="6"/>
      <c r="H20" s="6"/>
      <c r="I20" s="7"/>
      <c r="J20" s="7"/>
    </row>
    <row r="21" spans="1:10" ht="15">
      <c r="A21" s="6"/>
      <c r="B21" s="6"/>
      <c r="C21" s="71"/>
      <c r="D21" s="6"/>
      <c r="E21" s="6"/>
      <c r="F21" s="6"/>
      <c r="G21" s="6"/>
      <c r="H21" s="6"/>
      <c r="I21" s="7"/>
      <c r="J21" s="7"/>
    </row>
    <row r="22" spans="1:10" ht="15">
      <c r="A22" s="6"/>
      <c r="B22" s="6"/>
      <c r="C22" s="71"/>
      <c r="D22" s="6"/>
      <c r="E22" s="6"/>
      <c r="F22" s="6"/>
      <c r="G22" s="6"/>
      <c r="H22" s="6"/>
      <c r="I22" s="7"/>
      <c r="J22" s="7"/>
    </row>
    <row r="23" spans="1:10" ht="15">
      <c r="A23" s="6"/>
      <c r="B23" s="6"/>
      <c r="C23" s="71"/>
      <c r="D23" s="6"/>
      <c r="E23" s="6"/>
      <c r="F23" s="6"/>
      <c r="G23" s="6"/>
      <c r="H23" s="6"/>
      <c r="I23" s="7"/>
      <c r="J23" s="7"/>
    </row>
    <row r="24" spans="1:10" ht="15">
      <c r="A24" s="6"/>
      <c r="B24" s="6"/>
      <c r="C24" s="71"/>
      <c r="D24" s="6"/>
      <c r="E24" s="6"/>
      <c r="F24" s="6"/>
      <c r="G24" s="6"/>
      <c r="H24" s="6"/>
      <c r="I24" s="7"/>
      <c r="J24" s="7"/>
    </row>
    <row r="25" spans="1:10" ht="15">
      <c r="A25" s="7"/>
      <c r="B25" s="7"/>
      <c r="C25" s="71"/>
      <c r="D25" s="7"/>
      <c r="E25" s="7"/>
      <c r="F25" s="7"/>
      <c r="G25" s="7"/>
      <c r="H25" s="7"/>
      <c r="I25" s="7"/>
      <c r="J25" s="7"/>
    </row>
    <row r="26" spans="1:10" ht="15">
      <c r="A26" s="7"/>
      <c r="B26" s="7"/>
      <c r="C26" s="71"/>
      <c r="D26" s="7"/>
      <c r="E26" s="7"/>
      <c r="F26" s="7"/>
      <c r="G26" s="7"/>
      <c r="H26" s="7"/>
      <c r="I26" s="7"/>
      <c r="J26" s="7"/>
    </row>
    <row r="27" spans="1:10" ht="15">
      <c r="A27" s="7"/>
      <c r="B27" s="7"/>
      <c r="C27" s="71"/>
      <c r="D27" s="7"/>
      <c r="E27" s="7"/>
      <c r="F27" s="7"/>
      <c r="G27" s="7"/>
      <c r="H27" s="7"/>
      <c r="I27" s="7"/>
      <c r="J27" s="7"/>
    </row>
    <row r="28" spans="1:10" ht="15">
      <c r="A28" s="7"/>
      <c r="B28" s="7"/>
      <c r="C28" s="71"/>
      <c r="D28" s="7"/>
      <c r="E28" s="7"/>
      <c r="F28" s="7"/>
      <c r="G28" s="7"/>
      <c r="H28" s="7"/>
      <c r="I28" s="7"/>
      <c r="J28"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5.xml><?xml version="1.0" encoding="utf-8"?>
<worksheet xmlns="http://schemas.openxmlformats.org/spreadsheetml/2006/main" xmlns:r="http://schemas.openxmlformats.org/officeDocument/2006/relationships">
  <dimension ref="A1:J29"/>
  <sheetViews>
    <sheetView zoomScalePageLayoutView="0" workbookViewId="0" topLeftCell="A1">
      <selection activeCell="C6" sqref="C6"/>
    </sheetView>
  </sheetViews>
  <sheetFormatPr defaultColWidth="9.00390625" defaultRowHeight="12.75"/>
  <cols>
    <col min="1" max="1" width="5.25390625" style="1" bestFit="1" customWidth="1"/>
    <col min="2" max="2" width="63.125" style="1" customWidth="1"/>
    <col min="3" max="3" width="17.75390625" style="72" customWidth="1"/>
    <col min="4" max="16384" width="9.125" style="1" customWidth="1"/>
  </cols>
  <sheetData>
    <row r="1" spans="1:10" ht="19.5" customHeight="1">
      <c r="A1" s="832" t="s">
        <v>85</v>
      </c>
      <c r="B1" s="832"/>
      <c r="C1" s="832"/>
      <c r="D1" s="5"/>
      <c r="E1" s="5"/>
      <c r="F1" s="5"/>
      <c r="G1" s="5"/>
      <c r="H1" s="5"/>
      <c r="I1" s="5"/>
      <c r="J1" s="5"/>
    </row>
    <row r="2" spans="1:7" ht="19.5" customHeight="1">
      <c r="A2" s="832" t="s">
        <v>762</v>
      </c>
      <c r="B2" s="832"/>
      <c r="C2" s="832"/>
      <c r="D2" s="5"/>
      <c r="E2" s="5"/>
      <c r="F2" s="5"/>
      <c r="G2" s="5"/>
    </row>
    <row r="4" ht="12.75">
      <c r="C4" s="68" t="s">
        <v>704</v>
      </c>
    </row>
    <row r="5" spans="1:10" ht="19.5" customHeight="1">
      <c r="A5" s="13" t="s">
        <v>721</v>
      </c>
      <c r="B5" s="13" t="s">
        <v>663</v>
      </c>
      <c r="C5" s="69" t="s">
        <v>159</v>
      </c>
      <c r="D5" s="6"/>
      <c r="E5" s="6"/>
      <c r="F5" s="6"/>
      <c r="G5" s="6"/>
      <c r="H5" s="6"/>
      <c r="I5" s="7"/>
      <c r="J5" s="7"/>
    </row>
    <row r="6" spans="1:10" ht="19.5" customHeight="1">
      <c r="A6" s="21" t="s">
        <v>673</v>
      </c>
      <c r="B6" s="31" t="s">
        <v>723</v>
      </c>
      <c r="C6" s="70">
        <v>173424</v>
      </c>
      <c r="D6" s="6"/>
      <c r="E6" s="6"/>
      <c r="F6" s="6"/>
      <c r="G6" s="6"/>
      <c r="H6" s="6"/>
      <c r="I6" s="7"/>
      <c r="J6" s="7"/>
    </row>
    <row r="7" spans="1:10" ht="19.5" customHeight="1">
      <c r="A7" s="21" t="s">
        <v>678</v>
      </c>
      <c r="B7" s="31" t="s">
        <v>672</v>
      </c>
      <c r="C7" s="70">
        <f>SUM(C8:C10)</f>
        <v>1154000</v>
      </c>
      <c r="D7" s="6"/>
      <c r="E7" s="6"/>
      <c r="F7" s="6"/>
      <c r="G7" s="6"/>
      <c r="H7" s="6"/>
      <c r="I7" s="7"/>
      <c r="J7" s="7"/>
    </row>
    <row r="8" spans="1:10" ht="19.5" customHeight="1">
      <c r="A8" s="22" t="s">
        <v>674</v>
      </c>
      <c r="B8" s="113" t="s">
        <v>301</v>
      </c>
      <c r="C8" s="114">
        <v>1150000</v>
      </c>
      <c r="D8" s="6"/>
      <c r="E8" s="6"/>
      <c r="F8" s="6"/>
      <c r="G8" s="6"/>
      <c r="H8" s="6"/>
      <c r="I8" s="7"/>
      <c r="J8" s="7"/>
    </row>
    <row r="9" spans="1:10" ht="19.5" customHeight="1">
      <c r="A9" s="22" t="s">
        <v>675</v>
      </c>
      <c r="B9" s="113" t="s">
        <v>503</v>
      </c>
      <c r="C9" s="114">
        <v>1000</v>
      </c>
      <c r="D9" s="6"/>
      <c r="E9" s="6"/>
      <c r="F9" s="6"/>
      <c r="G9" s="6"/>
      <c r="H9" s="6"/>
      <c r="I9" s="7"/>
      <c r="J9" s="7"/>
    </row>
    <row r="10" spans="1:10" ht="19.5" customHeight="1">
      <c r="A10" s="22" t="s">
        <v>676</v>
      </c>
      <c r="B10" s="113" t="s">
        <v>302</v>
      </c>
      <c r="C10" s="114">
        <v>3000</v>
      </c>
      <c r="D10" s="6"/>
      <c r="E10" s="6"/>
      <c r="F10" s="6"/>
      <c r="G10" s="6"/>
      <c r="H10" s="6"/>
      <c r="I10" s="7"/>
      <c r="J10" s="7"/>
    </row>
    <row r="11" spans="1:10" ht="19.5" customHeight="1">
      <c r="A11" s="21" t="s">
        <v>679</v>
      </c>
      <c r="B11" s="31" t="s">
        <v>671</v>
      </c>
      <c r="C11" s="70">
        <f>C12+C18</f>
        <v>1156240</v>
      </c>
      <c r="D11" s="6"/>
      <c r="E11" s="6"/>
      <c r="F11" s="6"/>
      <c r="G11" s="6"/>
      <c r="H11" s="6"/>
      <c r="I11" s="7"/>
      <c r="J11" s="7"/>
    </row>
    <row r="12" spans="1:10" ht="19.5" customHeight="1">
      <c r="A12" s="22" t="s">
        <v>674</v>
      </c>
      <c r="B12" s="113" t="s">
        <v>700</v>
      </c>
      <c r="C12" s="114">
        <f>SUM(C13:C17)</f>
        <v>1086240</v>
      </c>
      <c r="D12" s="6"/>
      <c r="E12" s="6"/>
      <c r="F12" s="6"/>
      <c r="G12" s="6"/>
      <c r="H12" s="6"/>
      <c r="I12" s="7"/>
      <c r="J12" s="7"/>
    </row>
    <row r="13" spans="1:10" ht="15" customHeight="1">
      <c r="A13" s="22"/>
      <c r="B13" s="66" t="s">
        <v>256</v>
      </c>
      <c r="C13" s="114">
        <v>230800</v>
      </c>
      <c r="D13" s="6"/>
      <c r="E13" s="6"/>
      <c r="F13" s="6"/>
      <c r="G13" s="6"/>
      <c r="H13" s="6"/>
      <c r="I13" s="7"/>
      <c r="J13" s="7"/>
    </row>
    <row r="14" spans="1:10" ht="15" customHeight="1">
      <c r="A14" s="22"/>
      <c r="B14" s="66" t="s">
        <v>597</v>
      </c>
      <c r="C14" s="114"/>
      <c r="D14" s="6"/>
      <c r="E14" s="6"/>
      <c r="F14" s="6"/>
      <c r="G14" s="6"/>
      <c r="H14" s="6"/>
      <c r="I14" s="7"/>
      <c r="J14" s="7"/>
    </row>
    <row r="15" spans="1:10" ht="15" customHeight="1">
      <c r="A15" s="22"/>
      <c r="B15" s="66" t="s">
        <v>596</v>
      </c>
      <c r="C15" s="114"/>
      <c r="D15" s="6"/>
      <c r="E15" s="6"/>
      <c r="F15" s="6"/>
      <c r="G15" s="6"/>
      <c r="H15" s="6"/>
      <c r="I15" s="7"/>
      <c r="J15" s="7"/>
    </row>
    <row r="16" spans="1:10" ht="15" customHeight="1">
      <c r="A16" s="22"/>
      <c r="B16" s="66" t="s">
        <v>303</v>
      </c>
      <c r="C16" s="114">
        <v>822440</v>
      </c>
      <c r="D16" s="6"/>
      <c r="E16" s="6"/>
      <c r="F16" s="6"/>
      <c r="G16" s="6"/>
      <c r="H16" s="6"/>
      <c r="I16" s="7"/>
      <c r="J16" s="7"/>
    </row>
    <row r="17" spans="1:10" ht="15" customHeight="1">
      <c r="A17" s="22"/>
      <c r="B17" s="424" t="s">
        <v>579</v>
      </c>
      <c r="C17" s="114">
        <v>33000</v>
      </c>
      <c r="D17" s="6"/>
      <c r="E17" s="6"/>
      <c r="F17" s="6"/>
      <c r="G17" s="6"/>
      <c r="H17" s="6"/>
      <c r="I17" s="7"/>
      <c r="J17" s="7"/>
    </row>
    <row r="18" spans="1:10" ht="19.5" customHeight="1">
      <c r="A18" s="22" t="s">
        <v>675</v>
      </c>
      <c r="B18" s="113" t="s">
        <v>395</v>
      </c>
      <c r="C18" s="114">
        <v>70000</v>
      </c>
      <c r="D18" s="6"/>
      <c r="E18" s="6"/>
      <c r="F18" s="6"/>
      <c r="G18" s="6"/>
      <c r="H18" s="6"/>
      <c r="I18" s="7"/>
      <c r="J18" s="7"/>
    </row>
    <row r="19" spans="1:10" ht="19.5" customHeight="1">
      <c r="A19" s="21" t="s">
        <v>701</v>
      </c>
      <c r="B19" s="31" t="s">
        <v>725</v>
      </c>
      <c r="C19" s="70">
        <f>C6+C7-C11</f>
        <v>171184</v>
      </c>
      <c r="D19" s="6"/>
      <c r="E19" s="6"/>
      <c r="F19" s="6"/>
      <c r="G19" s="6"/>
      <c r="H19" s="6"/>
      <c r="I19" s="7"/>
      <c r="J19" s="7"/>
    </row>
    <row r="20" spans="1:10" ht="15">
      <c r="A20" s="6"/>
      <c r="B20" s="6"/>
      <c r="C20" s="71"/>
      <c r="D20" s="6"/>
      <c r="E20" s="6"/>
      <c r="F20" s="6"/>
      <c r="G20" s="6"/>
      <c r="H20" s="6"/>
      <c r="I20" s="7"/>
      <c r="J20" s="7"/>
    </row>
    <row r="21" spans="1:10" ht="15">
      <c r="A21" s="6"/>
      <c r="B21" s="6"/>
      <c r="C21" s="71"/>
      <c r="D21" s="6"/>
      <c r="E21" s="6"/>
      <c r="F21" s="6"/>
      <c r="G21" s="6"/>
      <c r="H21" s="6"/>
      <c r="I21" s="7"/>
      <c r="J21" s="7"/>
    </row>
    <row r="22" spans="1:10" ht="15">
      <c r="A22" s="6"/>
      <c r="B22" s="6"/>
      <c r="C22" s="71"/>
      <c r="D22" s="6"/>
      <c r="E22" s="6"/>
      <c r="F22" s="6"/>
      <c r="G22" s="6"/>
      <c r="H22" s="6"/>
      <c r="I22" s="7"/>
      <c r="J22" s="7"/>
    </row>
    <row r="23" spans="1:10" ht="15">
      <c r="A23" s="6"/>
      <c r="B23" s="6"/>
      <c r="C23" s="71"/>
      <c r="D23" s="6"/>
      <c r="E23" s="6"/>
      <c r="F23" s="6"/>
      <c r="G23" s="6"/>
      <c r="H23" s="6"/>
      <c r="I23" s="7"/>
      <c r="J23" s="7"/>
    </row>
    <row r="24" spans="1:10" ht="15">
      <c r="A24" s="6"/>
      <c r="B24" s="6"/>
      <c r="C24" s="71"/>
      <c r="D24" s="6"/>
      <c r="E24" s="6"/>
      <c r="F24" s="6"/>
      <c r="G24" s="6"/>
      <c r="H24" s="6"/>
      <c r="I24" s="7"/>
      <c r="J24" s="7"/>
    </row>
    <row r="25" spans="1:10" ht="15">
      <c r="A25" s="6"/>
      <c r="B25" s="6"/>
      <c r="C25" s="71"/>
      <c r="D25" s="6"/>
      <c r="E25" s="6"/>
      <c r="F25" s="6"/>
      <c r="G25" s="6"/>
      <c r="H25" s="6"/>
      <c r="I25" s="7"/>
      <c r="J25" s="7"/>
    </row>
    <row r="26" spans="1:10" ht="15">
      <c r="A26" s="7"/>
      <c r="B26" s="7"/>
      <c r="C26" s="71"/>
      <c r="D26" s="7"/>
      <c r="E26" s="7"/>
      <c r="F26" s="7"/>
      <c r="G26" s="7"/>
      <c r="H26" s="7"/>
      <c r="I26" s="7"/>
      <c r="J26" s="7"/>
    </row>
    <row r="27" spans="1:10" ht="15">
      <c r="A27" s="7"/>
      <c r="B27" s="7"/>
      <c r="C27" s="71"/>
      <c r="D27" s="7"/>
      <c r="E27" s="7"/>
      <c r="F27" s="7"/>
      <c r="G27" s="7"/>
      <c r="H27" s="7"/>
      <c r="I27" s="7"/>
      <c r="J27" s="7"/>
    </row>
    <row r="28" spans="1:10" ht="15">
      <c r="A28" s="7"/>
      <c r="B28" s="7"/>
      <c r="C28" s="71"/>
      <c r="D28" s="7"/>
      <c r="E28" s="7"/>
      <c r="F28" s="7"/>
      <c r="G28" s="7"/>
      <c r="H28" s="7"/>
      <c r="I28" s="7"/>
      <c r="J28" s="7"/>
    </row>
    <row r="29" spans="1:10" ht="15">
      <c r="A29" s="7"/>
      <c r="B29" s="7"/>
      <c r="C29" s="71"/>
      <c r="D29" s="7"/>
      <c r="E29" s="7"/>
      <c r="F29" s="7"/>
      <c r="G29" s="7"/>
      <c r="H29" s="7"/>
      <c r="I29" s="7"/>
      <c r="J29"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14
 do uchwały Rady Powiatu 
nr XXXIV/210/10
z dnia 15.10.2010 r.</oddHeader>
  </headerFooter>
</worksheet>
</file>

<file path=xl/worksheets/sheet16.xml><?xml version="1.0" encoding="utf-8"?>
<worksheet xmlns="http://schemas.openxmlformats.org/spreadsheetml/2006/main" xmlns:r="http://schemas.openxmlformats.org/officeDocument/2006/relationships">
  <dimension ref="A1:G6"/>
  <sheetViews>
    <sheetView showGridLines="0" defaultGridColor="0" zoomScalePageLayoutView="0" colorId="8" workbookViewId="0" topLeftCell="A1">
      <selection activeCell="B7" sqref="B7"/>
    </sheetView>
  </sheetViews>
  <sheetFormatPr defaultColWidth="9.00390625" defaultRowHeight="12.75"/>
  <cols>
    <col min="1" max="1" width="4.25390625" style="1" customWidth="1"/>
    <col min="2" max="2" width="22.25390625" style="2" customWidth="1"/>
    <col min="3" max="3" width="24.25390625" style="1" customWidth="1"/>
    <col min="4" max="4" width="22.75390625" style="1" customWidth="1"/>
    <col min="5" max="6" width="27.125" style="1" customWidth="1"/>
    <col min="7" max="16384" width="9.125" style="1" customWidth="1"/>
  </cols>
  <sheetData>
    <row r="1" spans="1:6" ht="37.5" customHeight="1">
      <c r="A1" s="744" t="s">
        <v>730</v>
      </c>
      <c r="B1" s="744"/>
      <c r="C1" s="744"/>
      <c r="D1" s="744"/>
      <c r="E1" s="744"/>
      <c r="F1" s="744"/>
    </row>
    <row r="2" spans="1:6" ht="65.25" customHeight="1">
      <c r="A2" s="13" t="s">
        <v>721</v>
      </c>
      <c r="B2" s="13" t="s">
        <v>51</v>
      </c>
      <c r="C2" s="13" t="s">
        <v>726</v>
      </c>
      <c r="D2" s="14" t="s">
        <v>727</v>
      </c>
      <c r="E2" s="14" t="s">
        <v>728</v>
      </c>
      <c r="F2" s="14" t="s">
        <v>729</v>
      </c>
    </row>
    <row r="3" spans="1:6" ht="9" customHeight="1">
      <c r="A3" s="16">
        <v>1</v>
      </c>
      <c r="B3" s="16">
        <v>2</v>
      </c>
      <c r="C3" s="16">
        <v>3</v>
      </c>
      <c r="D3" s="16">
        <v>4</v>
      </c>
      <c r="E3" s="16">
        <v>5</v>
      </c>
      <c r="F3" s="16">
        <v>6</v>
      </c>
    </row>
    <row r="4" spans="1:6" s="32" customFormat="1" ht="47.25" customHeight="1">
      <c r="A4" s="834" t="s">
        <v>674</v>
      </c>
      <c r="B4" s="833" t="s">
        <v>438</v>
      </c>
      <c r="C4" s="837" t="s">
        <v>366</v>
      </c>
      <c r="D4" s="837" t="s">
        <v>366</v>
      </c>
      <c r="E4" s="840" t="s">
        <v>366</v>
      </c>
      <c r="F4" s="82">
        <v>0</v>
      </c>
    </row>
    <row r="5" spans="1:6" s="32" customFormat="1" ht="47.25" customHeight="1">
      <c r="A5" s="835"/>
      <c r="B5" s="833"/>
      <c r="C5" s="838"/>
      <c r="D5" s="838"/>
      <c r="E5" s="841"/>
      <c r="F5" s="83"/>
    </row>
    <row r="6" spans="1:7" s="32" customFormat="1" ht="47.25" customHeight="1">
      <c r="A6" s="836"/>
      <c r="B6" s="833"/>
      <c r="C6" s="839"/>
      <c r="D6" s="839"/>
      <c r="E6" s="842"/>
      <c r="F6" s="84"/>
      <c r="G6" s="32" t="s">
        <v>687</v>
      </c>
    </row>
  </sheetData>
  <sheetProtection/>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17.xml><?xml version="1.0" encoding="utf-8"?>
<worksheet xmlns="http://schemas.openxmlformats.org/spreadsheetml/2006/main" xmlns:r="http://schemas.openxmlformats.org/officeDocument/2006/relationships">
  <dimension ref="A1:IQ20"/>
  <sheetViews>
    <sheetView zoomScalePageLayoutView="0" workbookViewId="0" topLeftCell="A8">
      <selection activeCell="E20" sqref="E20"/>
    </sheetView>
  </sheetViews>
  <sheetFormatPr defaultColWidth="9.00390625" defaultRowHeight="12.75"/>
  <cols>
    <col min="4" max="4" width="31.625" style="163" customWidth="1"/>
    <col min="5" max="5" width="22.125" style="0" customWidth="1"/>
  </cols>
  <sheetData>
    <row r="1" spans="1:5" s="152" customFormat="1" ht="14.25">
      <c r="A1" s="212"/>
      <c r="B1" s="148"/>
      <c r="C1" s="149"/>
      <c r="E1" s="150"/>
    </row>
    <row r="2" spans="1:5" s="152" customFormat="1" ht="14.25">
      <c r="A2" s="147"/>
      <c r="B2" s="148"/>
      <c r="C2" s="149"/>
      <c r="D2" s="161"/>
      <c r="E2" s="150"/>
    </row>
    <row r="3" spans="1:5" s="152" customFormat="1" ht="15.75">
      <c r="A3" s="164" t="s">
        <v>397</v>
      </c>
      <c r="B3" s="148"/>
      <c r="C3" s="149"/>
      <c r="D3" s="151"/>
      <c r="E3" s="150"/>
    </row>
    <row r="4" spans="1:5" s="152" customFormat="1" ht="15" thickBot="1">
      <c r="A4" s="147"/>
      <c r="B4" s="148"/>
      <c r="C4" s="149"/>
      <c r="D4" s="162"/>
      <c r="E4" s="150"/>
    </row>
    <row r="5" spans="1:251" s="154" customFormat="1" ht="30" customHeight="1">
      <c r="A5" s="192" t="s">
        <v>304</v>
      </c>
      <c r="B5" s="193" t="s">
        <v>305</v>
      </c>
      <c r="C5" s="194" t="s">
        <v>306</v>
      </c>
      <c r="D5" s="195" t="s">
        <v>398</v>
      </c>
      <c r="E5" s="196" t="s">
        <v>412</v>
      </c>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c r="CD5" s="153"/>
      <c r="CE5" s="153"/>
      <c r="CF5" s="153"/>
      <c r="CG5" s="153"/>
      <c r="CH5" s="153"/>
      <c r="CI5" s="153"/>
      <c r="CJ5" s="153"/>
      <c r="CK5" s="153"/>
      <c r="CL5" s="153"/>
      <c r="CM5" s="153"/>
      <c r="CN5" s="153"/>
      <c r="CO5" s="153"/>
      <c r="CP5" s="153"/>
      <c r="CQ5" s="153"/>
      <c r="CR5" s="153"/>
      <c r="CS5" s="153"/>
      <c r="CT5" s="153"/>
      <c r="CU5" s="153"/>
      <c r="CV5" s="153"/>
      <c r="CW5" s="153"/>
      <c r="CX5" s="153"/>
      <c r="CY5" s="153"/>
      <c r="CZ5" s="153"/>
      <c r="DA5" s="153"/>
      <c r="DB5" s="153"/>
      <c r="DC5" s="153"/>
      <c r="DD5" s="153"/>
      <c r="DE5" s="153"/>
      <c r="DF5" s="153"/>
      <c r="DG5" s="153"/>
      <c r="DH5" s="153"/>
      <c r="DI5" s="153"/>
      <c r="DJ5" s="153"/>
      <c r="DK5" s="153"/>
      <c r="DL5" s="153"/>
      <c r="DM5" s="153"/>
      <c r="DN5" s="153"/>
      <c r="DO5" s="153"/>
      <c r="DP5" s="153"/>
      <c r="DQ5" s="153"/>
      <c r="DR5" s="153"/>
      <c r="DS5" s="153"/>
      <c r="DT5" s="153"/>
      <c r="DU5" s="153"/>
      <c r="DV5" s="153"/>
      <c r="DW5" s="153"/>
      <c r="DX5" s="153"/>
      <c r="DY5" s="153"/>
      <c r="DZ5" s="153"/>
      <c r="EA5" s="153"/>
      <c r="EB5" s="153"/>
      <c r="EC5" s="153"/>
      <c r="ED5" s="153"/>
      <c r="EE5" s="153"/>
      <c r="EF5" s="153"/>
      <c r="EG5" s="153"/>
      <c r="EH5" s="153"/>
      <c r="EI5" s="153"/>
      <c r="EJ5" s="153"/>
      <c r="EK5" s="153"/>
      <c r="EL5" s="153"/>
      <c r="EM5" s="153"/>
      <c r="EN5" s="153"/>
      <c r="EO5" s="153"/>
      <c r="EP5" s="153"/>
      <c r="EQ5" s="153"/>
      <c r="ER5" s="153"/>
      <c r="ES5" s="153"/>
      <c r="ET5" s="153"/>
      <c r="EU5" s="153"/>
      <c r="EV5" s="153"/>
      <c r="EW5" s="153"/>
      <c r="EX5" s="153"/>
      <c r="EY5" s="153"/>
      <c r="EZ5" s="153"/>
      <c r="FA5" s="153"/>
      <c r="FB5" s="153"/>
      <c r="FC5" s="153"/>
      <c r="FD5" s="153"/>
      <c r="FE5" s="153"/>
      <c r="FF5" s="153"/>
      <c r="FG5" s="153"/>
      <c r="FH5" s="153"/>
      <c r="FI5" s="153"/>
      <c r="FJ5" s="153"/>
      <c r="FK5" s="153"/>
      <c r="FL5" s="153"/>
      <c r="FM5" s="153"/>
      <c r="FN5" s="153"/>
      <c r="FO5" s="153"/>
      <c r="FP5" s="153"/>
      <c r="FQ5" s="153"/>
      <c r="FR5" s="153"/>
      <c r="FS5" s="153"/>
      <c r="FT5" s="153"/>
      <c r="FU5" s="153"/>
      <c r="FV5" s="153"/>
      <c r="FW5" s="153"/>
      <c r="FX5" s="153"/>
      <c r="FY5" s="153"/>
      <c r="FZ5" s="153"/>
      <c r="GA5" s="153"/>
      <c r="GB5" s="153"/>
      <c r="GC5" s="153"/>
      <c r="GD5" s="153"/>
      <c r="GE5" s="153"/>
      <c r="GF5" s="153"/>
      <c r="GG5" s="153"/>
      <c r="GH5" s="153"/>
      <c r="GI5" s="153"/>
      <c r="GJ5" s="153"/>
      <c r="GK5" s="153"/>
      <c r="GL5" s="153"/>
      <c r="GM5" s="153"/>
      <c r="GN5" s="153"/>
      <c r="GO5" s="153"/>
      <c r="GP5" s="153"/>
      <c r="GQ5" s="153"/>
      <c r="GR5" s="153"/>
      <c r="GS5" s="153"/>
      <c r="GT5" s="153"/>
      <c r="GU5" s="153"/>
      <c r="GV5" s="153"/>
      <c r="GW5" s="153"/>
      <c r="GX5" s="153"/>
      <c r="GY5" s="153"/>
      <c r="GZ5" s="153"/>
      <c r="HA5" s="153"/>
      <c r="HB5" s="153"/>
      <c r="HC5" s="153"/>
      <c r="HD5" s="153"/>
      <c r="HE5" s="153"/>
      <c r="HF5" s="153"/>
      <c r="HG5" s="153"/>
      <c r="HH5" s="153"/>
      <c r="HI5" s="153"/>
      <c r="HJ5" s="153"/>
      <c r="HK5" s="153"/>
      <c r="HL5" s="153"/>
      <c r="HM5" s="153"/>
      <c r="HN5" s="153"/>
      <c r="HO5" s="153"/>
      <c r="HP5" s="153"/>
      <c r="HQ5" s="153"/>
      <c r="HR5" s="153"/>
      <c r="HS5" s="153"/>
      <c r="HT5" s="153"/>
      <c r="HU5" s="153"/>
      <c r="HV5" s="153"/>
      <c r="HW5" s="153"/>
      <c r="HX5" s="153"/>
      <c r="HY5" s="153"/>
      <c r="HZ5" s="153"/>
      <c r="IA5" s="153"/>
      <c r="IB5" s="153"/>
      <c r="IC5" s="153"/>
      <c r="ID5" s="153"/>
      <c r="IE5" s="153"/>
      <c r="IF5" s="153"/>
      <c r="IG5" s="153"/>
      <c r="IH5" s="153"/>
      <c r="II5" s="153"/>
      <c r="IJ5" s="153"/>
      <c r="IK5" s="153"/>
      <c r="IL5" s="153"/>
      <c r="IM5" s="153"/>
      <c r="IN5" s="153"/>
      <c r="IO5" s="153"/>
      <c r="IP5" s="153"/>
      <c r="IQ5" s="153"/>
    </row>
    <row r="6" spans="1:5" s="155" customFormat="1" ht="15">
      <c r="A6" s="165" t="s">
        <v>86</v>
      </c>
      <c r="B6" s="165"/>
      <c r="C6" s="166"/>
      <c r="D6" s="167" t="s">
        <v>87</v>
      </c>
      <c r="E6" s="168">
        <f>E7</f>
        <v>17000</v>
      </c>
    </row>
    <row r="7" spans="1:5" s="156" customFormat="1" ht="26.25">
      <c r="A7" s="169"/>
      <c r="B7" s="170" t="s">
        <v>310</v>
      </c>
      <c r="C7" s="171"/>
      <c r="D7" s="172" t="s">
        <v>399</v>
      </c>
      <c r="E7" s="173">
        <f>SUM(E8:E8)</f>
        <v>17000</v>
      </c>
    </row>
    <row r="8" spans="1:5" s="156" customFormat="1" ht="14.25">
      <c r="A8" s="169"/>
      <c r="B8" s="169"/>
      <c r="C8" s="171" t="s">
        <v>312</v>
      </c>
      <c r="D8" s="174" t="s">
        <v>400</v>
      </c>
      <c r="E8" s="175">
        <v>17000</v>
      </c>
    </row>
    <row r="9" spans="1:5" s="157" customFormat="1" ht="15">
      <c r="A9" s="176">
        <v>700</v>
      </c>
      <c r="B9" s="176"/>
      <c r="C9" s="177"/>
      <c r="D9" s="178" t="s">
        <v>122</v>
      </c>
      <c r="E9" s="179">
        <f>E10</f>
        <v>459000</v>
      </c>
    </row>
    <row r="10" spans="1:5" s="159" customFormat="1" ht="26.25">
      <c r="A10" s="180"/>
      <c r="B10" s="180">
        <v>70005</v>
      </c>
      <c r="C10" s="181"/>
      <c r="D10" s="182" t="s">
        <v>123</v>
      </c>
      <c r="E10" s="183">
        <f>SUM(E11:E13)</f>
        <v>459000</v>
      </c>
    </row>
    <row r="11" spans="1:5" s="158" customFormat="1" ht="38.25">
      <c r="A11" s="184"/>
      <c r="B11" s="184"/>
      <c r="C11" s="185" t="s">
        <v>401</v>
      </c>
      <c r="D11" s="186" t="s">
        <v>402</v>
      </c>
      <c r="E11" s="187">
        <v>445000</v>
      </c>
    </row>
    <row r="12" spans="1:5" s="158" customFormat="1" ht="89.25">
      <c r="A12" s="184"/>
      <c r="B12" s="184"/>
      <c r="C12" s="185" t="s">
        <v>313</v>
      </c>
      <c r="D12" s="186" t="s">
        <v>403</v>
      </c>
      <c r="E12" s="187">
        <v>10000</v>
      </c>
    </row>
    <row r="13" spans="1:5" s="158" customFormat="1" ht="51">
      <c r="A13" s="184"/>
      <c r="B13" s="184"/>
      <c r="C13" s="185" t="s">
        <v>404</v>
      </c>
      <c r="D13" s="186" t="s">
        <v>405</v>
      </c>
      <c r="E13" s="187">
        <v>4000</v>
      </c>
    </row>
    <row r="14" spans="1:5" s="157" customFormat="1" ht="15">
      <c r="A14" s="176">
        <v>710</v>
      </c>
      <c r="B14" s="176"/>
      <c r="C14" s="177"/>
      <c r="D14" s="178" t="s">
        <v>406</v>
      </c>
      <c r="E14" s="179">
        <f>E15</f>
        <v>1000</v>
      </c>
    </row>
    <row r="15" spans="1:5" s="159" customFormat="1" ht="15">
      <c r="A15" s="180"/>
      <c r="B15" s="180">
        <v>71015</v>
      </c>
      <c r="C15" s="181"/>
      <c r="D15" s="182" t="s">
        <v>407</v>
      </c>
      <c r="E15" s="183">
        <f>SUM(E16)</f>
        <v>1000</v>
      </c>
    </row>
    <row r="16" spans="1:7" s="158" customFormat="1" ht="25.5">
      <c r="A16" s="184"/>
      <c r="B16" s="184"/>
      <c r="C16" s="185" t="s">
        <v>408</v>
      </c>
      <c r="D16" s="186" t="s">
        <v>409</v>
      </c>
      <c r="E16" s="187">
        <v>1000</v>
      </c>
      <c r="G16" s="153"/>
    </row>
    <row r="17" spans="1:5" s="157" customFormat="1" ht="15">
      <c r="A17" s="176">
        <v>852</v>
      </c>
      <c r="B17" s="176"/>
      <c r="C17" s="177"/>
      <c r="D17" s="178" t="s">
        <v>410</v>
      </c>
      <c r="E17" s="179">
        <f>E18</f>
        <v>22600</v>
      </c>
    </row>
    <row r="18" spans="1:5" s="159" customFormat="1" ht="15">
      <c r="A18" s="180"/>
      <c r="B18" s="180">
        <v>85203</v>
      </c>
      <c r="C18" s="181"/>
      <c r="D18" s="182" t="s">
        <v>413</v>
      </c>
      <c r="E18" s="183">
        <f>SUM(E19)</f>
        <v>22600</v>
      </c>
    </row>
    <row r="19" spans="1:5" s="158" customFormat="1" ht="14.25">
      <c r="A19" s="184"/>
      <c r="B19" s="184"/>
      <c r="C19" s="185" t="s">
        <v>323</v>
      </c>
      <c r="D19" s="76" t="s">
        <v>324</v>
      </c>
      <c r="E19" s="187">
        <v>22600</v>
      </c>
    </row>
    <row r="20" spans="1:5" s="160" customFormat="1" ht="26.25">
      <c r="A20" s="188"/>
      <c r="B20" s="188"/>
      <c r="C20" s="189"/>
      <c r="D20" s="190" t="s">
        <v>411</v>
      </c>
      <c r="E20" s="191">
        <f>E6+E10+E14+E17</f>
        <v>499600</v>
      </c>
    </row>
  </sheetData>
  <sheetProtection/>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O52"/>
  <sheetViews>
    <sheetView showGridLines="0" zoomScalePageLayoutView="0" workbookViewId="0" topLeftCell="A1">
      <pane ySplit="5" topLeftCell="A24" activePane="bottomLeft" state="frozen"/>
      <selection pane="topLeft" activeCell="A1" sqref="A1"/>
      <selection pane="bottomLeft" activeCell="O34" sqref="O34:O38"/>
    </sheetView>
  </sheetViews>
  <sheetFormatPr defaultColWidth="9.00390625" defaultRowHeight="12.75"/>
  <cols>
    <col min="1" max="1" width="6.25390625" style="0" customWidth="1"/>
    <col min="2" max="2" width="55.125" style="0" customWidth="1"/>
    <col min="3" max="3" width="0.37109375" style="0" customWidth="1"/>
    <col min="4" max="13" width="10.75390625" style="0" bestFit="1" customWidth="1"/>
    <col min="14" max="14" width="11.125" style="0" bestFit="1" customWidth="1"/>
  </cols>
  <sheetData>
    <row r="1" spans="1:8" ht="18">
      <c r="A1" s="843" t="s">
        <v>139</v>
      </c>
      <c r="B1" s="843"/>
      <c r="C1" s="843"/>
      <c r="D1" s="843"/>
      <c r="E1" s="843"/>
      <c r="F1" s="843"/>
      <c r="G1" s="843"/>
      <c r="H1" s="843"/>
    </row>
    <row r="2" spans="1:14" ht="9" customHeight="1">
      <c r="A2" s="5"/>
      <c r="B2" s="5"/>
      <c r="C2" s="5"/>
      <c r="D2" s="5"/>
      <c r="E2" s="5"/>
      <c r="F2" s="5"/>
      <c r="G2" s="5"/>
      <c r="H2" s="5"/>
      <c r="I2" s="5"/>
      <c r="J2" s="5"/>
      <c r="K2" s="5"/>
      <c r="L2" s="5"/>
      <c r="M2" s="5"/>
      <c r="N2" s="5"/>
    </row>
    <row r="3" spans="8:14" ht="12.75">
      <c r="H3" s="52" t="s">
        <v>704</v>
      </c>
      <c r="I3" s="52"/>
      <c r="J3" s="52"/>
      <c r="K3" s="52"/>
      <c r="L3" s="52"/>
      <c r="M3" s="52"/>
      <c r="N3" s="52"/>
    </row>
    <row r="4" spans="1:8" s="40" customFormat="1" ht="35.25" customHeight="1">
      <c r="A4" s="844" t="s">
        <v>721</v>
      </c>
      <c r="B4" s="844" t="s">
        <v>663</v>
      </c>
      <c r="C4" s="845" t="s">
        <v>454</v>
      </c>
      <c r="D4" s="844" t="s">
        <v>807</v>
      </c>
      <c r="E4" s="517"/>
      <c r="F4" s="517"/>
      <c r="G4" s="517"/>
      <c r="H4" s="518"/>
    </row>
    <row r="5" spans="1:14" s="40" customFormat="1" ht="23.25" customHeight="1">
      <c r="A5" s="844"/>
      <c r="B5" s="844"/>
      <c r="C5" s="846"/>
      <c r="D5" s="844"/>
      <c r="E5" s="519">
        <v>2010</v>
      </c>
      <c r="F5" s="49">
        <v>2011</v>
      </c>
      <c r="G5" s="49">
        <v>2012</v>
      </c>
      <c r="H5" s="49">
        <v>2013</v>
      </c>
      <c r="I5" s="49">
        <v>2014</v>
      </c>
      <c r="J5" s="49">
        <v>2015</v>
      </c>
      <c r="K5" s="49">
        <v>2016</v>
      </c>
      <c r="L5" s="49">
        <v>2017</v>
      </c>
      <c r="M5" s="49">
        <v>2018</v>
      </c>
      <c r="N5" s="49">
        <v>2019</v>
      </c>
    </row>
    <row r="6" spans="1:14" s="48" customFormat="1" ht="8.25">
      <c r="A6" s="47">
        <v>1</v>
      </c>
      <c r="B6" s="47">
        <v>2</v>
      </c>
      <c r="C6" s="47">
        <v>3</v>
      </c>
      <c r="D6" s="47">
        <v>5</v>
      </c>
      <c r="E6" s="47">
        <v>6</v>
      </c>
      <c r="F6" s="47">
        <v>7</v>
      </c>
      <c r="G6" s="47">
        <v>8</v>
      </c>
      <c r="H6" s="47">
        <v>9</v>
      </c>
      <c r="I6" s="47">
        <v>9</v>
      </c>
      <c r="J6" s="47">
        <v>9</v>
      </c>
      <c r="K6" s="47">
        <v>9</v>
      </c>
      <c r="L6" s="47">
        <v>9</v>
      </c>
      <c r="M6" s="47">
        <v>9</v>
      </c>
      <c r="N6" s="47">
        <v>9</v>
      </c>
    </row>
    <row r="7" spans="1:14" s="40" customFormat="1" ht="22.5" customHeight="1">
      <c r="A7" s="38" t="s">
        <v>674</v>
      </c>
      <c r="B7" s="51" t="s">
        <v>54</v>
      </c>
      <c r="C7" s="237">
        <f aca="true" t="shared" si="0" ref="C7:M7">C8+C18+C22</f>
        <v>4101316</v>
      </c>
      <c r="D7" s="237">
        <f t="shared" si="0"/>
        <v>8466316</v>
      </c>
      <c r="E7" s="237">
        <f t="shared" si="0"/>
        <v>11045000</v>
      </c>
      <c r="F7" s="237">
        <f t="shared" si="0"/>
        <v>10570000</v>
      </c>
      <c r="G7" s="237">
        <f t="shared" si="0"/>
        <v>10095000</v>
      </c>
      <c r="H7" s="237">
        <f t="shared" si="0"/>
        <v>9070000</v>
      </c>
      <c r="I7" s="237">
        <f t="shared" si="0"/>
        <v>7570000</v>
      </c>
      <c r="J7" s="237">
        <f t="shared" si="0"/>
        <v>6070000</v>
      </c>
      <c r="K7" s="237">
        <f t="shared" si="0"/>
        <v>4570000</v>
      </c>
      <c r="L7" s="237">
        <f t="shared" si="0"/>
        <v>2770000</v>
      </c>
      <c r="M7" s="237">
        <f t="shared" si="0"/>
        <v>970000</v>
      </c>
      <c r="N7" s="237">
        <f>N8+N18+N22</f>
        <v>0</v>
      </c>
    </row>
    <row r="8" spans="1:14" s="39" customFormat="1" ht="15" customHeight="1">
      <c r="A8" s="42" t="s">
        <v>748</v>
      </c>
      <c r="B8" s="44" t="s">
        <v>75</v>
      </c>
      <c r="C8" s="127">
        <f aca="true" t="shared" si="1" ref="C8:H8">SUM(C9:C17)-C10</f>
        <v>4101316</v>
      </c>
      <c r="D8" s="127">
        <f t="shared" si="1"/>
        <v>8466316</v>
      </c>
      <c r="E8" s="127">
        <f t="shared" si="1"/>
        <v>7445000</v>
      </c>
      <c r="F8" s="127">
        <f t="shared" si="1"/>
        <v>6970000</v>
      </c>
      <c r="G8" s="127">
        <f t="shared" si="1"/>
        <v>6495000</v>
      </c>
      <c r="H8" s="127">
        <f t="shared" si="1"/>
        <v>5470000</v>
      </c>
      <c r="I8" s="127">
        <f aca="true" t="shared" si="2" ref="I8:N8">SUM(I9:I17)-I10</f>
        <v>3970000</v>
      </c>
      <c r="J8" s="127">
        <f t="shared" si="2"/>
        <v>2470000</v>
      </c>
      <c r="K8" s="127">
        <f t="shared" si="2"/>
        <v>970000</v>
      </c>
      <c r="L8" s="127">
        <f t="shared" si="2"/>
        <v>970000</v>
      </c>
      <c r="M8" s="127">
        <f t="shared" si="2"/>
        <v>970000</v>
      </c>
      <c r="N8" s="127">
        <f t="shared" si="2"/>
        <v>0</v>
      </c>
    </row>
    <row r="9" spans="1:14" s="39" customFormat="1" ht="15" customHeight="1">
      <c r="A9" s="46" t="s">
        <v>59</v>
      </c>
      <c r="B9" s="45" t="s">
        <v>763</v>
      </c>
      <c r="C9" s="117"/>
      <c r="D9" s="117"/>
      <c r="E9" s="117"/>
      <c r="F9" s="117"/>
      <c r="G9" s="117"/>
      <c r="H9" s="117"/>
      <c r="I9" s="117"/>
      <c r="J9" s="117"/>
      <c r="K9" s="117"/>
      <c r="L9" s="117"/>
      <c r="M9" s="117"/>
      <c r="N9" s="117"/>
    </row>
    <row r="10" spans="1:14" s="39" customFormat="1" ht="15" customHeight="1">
      <c r="A10" s="46" t="s">
        <v>60</v>
      </c>
      <c r="B10" s="45" t="s">
        <v>764</v>
      </c>
      <c r="C10" s="117">
        <f>SUM(C11:C15)</f>
        <v>4101316</v>
      </c>
      <c r="D10" s="117">
        <f aca="true" t="shared" si="3" ref="D10:M10">SUM(D11:D15)</f>
        <v>2996316</v>
      </c>
      <c r="E10" s="117">
        <f t="shared" si="3"/>
        <v>1975000</v>
      </c>
      <c r="F10" s="117">
        <f t="shared" si="3"/>
        <v>1500000</v>
      </c>
      <c r="G10" s="117">
        <f t="shared" si="3"/>
        <v>1025000</v>
      </c>
      <c r="H10" s="117">
        <f t="shared" si="3"/>
        <v>0</v>
      </c>
      <c r="I10" s="117">
        <f t="shared" si="3"/>
        <v>0</v>
      </c>
      <c r="J10" s="117">
        <f t="shared" si="3"/>
        <v>0</v>
      </c>
      <c r="K10" s="117">
        <f t="shared" si="3"/>
        <v>0</v>
      </c>
      <c r="L10" s="117">
        <f t="shared" si="3"/>
        <v>0</v>
      </c>
      <c r="M10" s="117">
        <f t="shared" si="3"/>
        <v>0</v>
      </c>
      <c r="N10" s="117">
        <f>SUM(N11:N15)</f>
        <v>0</v>
      </c>
    </row>
    <row r="11" spans="1:14" s="39" customFormat="1" ht="15" customHeight="1">
      <c r="A11" s="46">
        <v>2004</v>
      </c>
      <c r="B11" s="45" t="s">
        <v>594</v>
      </c>
      <c r="C11" s="120"/>
      <c r="D11" s="117"/>
      <c r="E11" s="117"/>
      <c r="F11" s="117"/>
      <c r="G11" s="117"/>
      <c r="H11" s="117"/>
      <c r="I11" s="117"/>
      <c r="J11" s="117"/>
      <c r="K11" s="117"/>
      <c r="L11" s="117"/>
      <c r="M11" s="117"/>
      <c r="N11" s="117"/>
    </row>
    <row r="12" spans="1:14" s="39" customFormat="1" ht="15" customHeight="1">
      <c r="A12" s="46">
        <v>2005</v>
      </c>
      <c r="B12" s="45" t="s">
        <v>644</v>
      </c>
      <c r="C12" s="120"/>
      <c r="D12" s="117"/>
      <c r="E12" s="117"/>
      <c r="F12" s="117"/>
      <c r="G12" s="117"/>
      <c r="H12" s="117"/>
      <c r="I12" s="117"/>
      <c r="J12" s="117"/>
      <c r="K12" s="117"/>
      <c r="L12" s="117"/>
      <c r="M12" s="117"/>
      <c r="N12" s="117"/>
    </row>
    <row r="13" spans="1:14" s="39" customFormat="1" ht="15" customHeight="1">
      <c r="A13" s="46">
        <v>2006</v>
      </c>
      <c r="B13" s="45" t="s">
        <v>372</v>
      </c>
      <c r="C13" s="119">
        <v>1921316</v>
      </c>
      <c r="D13" s="117">
        <v>921316</v>
      </c>
      <c r="E13" s="117"/>
      <c r="F13" s="117"/>
      <c r="G13" s="117"/>
      <c r="H13" s="117"/>
      <c r="I13" s="117"/>
      <c r="J13" s="117"/>
      <c r="K13" s="117"/>
      <c r="L13" s="117"/>
      <c r="M13" s="117"/>
      <c r="N13" s="117"/>
    </row>
    <row r="14" spans="1:14" s="39" customFormat="1" ht="15" customHeight="1">
      <c r="A14" s="46">
        <v>2007</v>
      </c>
      <c r="B14" s="45" t="s">
        <v>595</v>
      </c>
      <c r="C14" s="119">
        <v>950000</v>
      </c>
      <c r="D14" s="117">
        <v>900000</v>
      </c>
      <c r="E14" s="117">
        <v>850000</v>
      </c>
      <c r="F14" s="117">
        <v>425000</v>
      </c>
      <c r="G14" s="117"/>
      <c r="H14" s="117"/>
      <c r="I14" s="117"/>
      <c r="J14" s="117"/>
      <c r="K14" s="117"/>
      <c r="L14" s="117"/>
      <c r="M14" s="117"/>
      <c r="N14" s="117"/>
    </row>
    <row r="15" spans="1:14" s="39" customFormat="1" ht="15" customHeight="1">
      <c r="A15" s="46">
        <v>2008</v>
      </c>
      <c r="B15" s="45" t="s">
        <v>635</v>
      </c>
      <c r="C15" s="119">
        <v>1230000</v>
      </c>
      <c r="D15" s="117">
        <f>800000+375000</f>
        <v>1175000</v>
      </c>
      <c r="E15" s="117">
        <f>750000+375000</f>
        <v>1125000</v>
      </c>
      <c r="F15" s="117">
        <f>700000+375000</f>
        <v>1075000</v>
      </c>
      <c r="G15" s="117">
        <f>655000+375000-5000</f>
        <v>1025000</v>
      </c>
      <c r="H15" s="117"/>
      <c r="I15" s="117"/>
      <c r="J15" s="117"/>
      <c r="K15" s="117"/>
      <c r="L15" s="117"/>
      <c r="M15" s="117"/>
      <c r="N15" s="117"/>
    </row>
    <row r="16" spans="1:14" s="39" customFormat="1" ht="15" customHeight="1">
      <c r="A16" s="46"/>
      <c r="B16" s="45"/>
      <c r="C16" s="119"/>
      <c r="D16" s="117"/>
      <c r="E16" s="117"/>
      <c r="F16" s="117"/>
      <c r="G16" s="117"/>
      <c r="H16" s="117"/>
      <c r="I16" s="117"/>
      <c r="J16" s="117"/>
      <c r="K16" s="117"/>
      <c r="L16" s="117"/>
      <c r="M16" s="117"/>
      <c r="N16" s="117"/>
    </row>
    <row r="17" spans="1:14" s="39" customFormat="1" ht="15" customHeight="1">
      <c r="A17" s="46" t="s">
        <v>61</v>
      </c>
      <c r="B17" s="45" t="s">
        <v>137</v>
      </c>
      <c r="C17" s="117"/>
      <c r="D17" s="117">
        <v>5470000</v>
      </c>
      <c r="E17" s="117">
        <v>5470000</v>
      </c>
      <c r="F17" s="117">
        <v>5470000</v>
      </c>
      <c r="G17" s="117">
        <v>5470000</v>
      </c>
      <c r="H17" s="117">
        <v>5470000</v>
      </c>
      <c r="I17" s="117">
        <f>H17-I36</f>
        <v>3970000</v>
      </c>
      <c r="J17" s="117">
        <f>I17-J36</f>
        <v>2470000</v>
      </c>
      <c r="K17" s="117">
        <f>J17-K36</f>
        <v>970000</v>
      </c>
      <c r="L17" s="117">
        <f>970000</f>
        <v>970000</v>
      </c>
      <c r="M17" s="117">
        <f>970000</f>
        <v>970000</v>
      </c>
      <c r="N17" s="117"/>
    </row>
    <row r="18" spans="1:14" s="39" customFormat="1" ht="12.75">
      <c r="A18" s="42" t="s">
        <v>754</v>
      </c>
      <c r="B18" s="352" t="s">
        <v>138</v>
      </c>
      <c r="C18" s="117">
        <f aca="true" t="shared" si="4" ref="C18:M18">SUM(C19:C21)</f>
        <v>0</v>
      </c>
      <c r="D18" s="117">
        <f t="shared" si="4"/>
        <v>0</v>
      </c>
      <c r="E18" s="117">
        <f t="shared" si="4"/>
        <v>3600000</v>
      </c>
      <c r="F18" s="117">
        <f t="shared" si="4"/>
        <v>3600000</v>
      </c>
      <c r="G18" s="117">
        <f t="shared" si="4"/>
        <v>3600000</v>
      </c>
      <c r="H18" s="117">
        <f t="shared" si="4"/>
        <v>3600000</v>
      </c>
      <c r="I18" s="117">
        <f t="shared" si="4"/>
        <v>3600000</v>
      </c>
      <c r="J18" s="117">
        <f t="shared" si="4"/>
        <v>3600000</v>
      </c>
      <c r="K18" s="117">
        <f t="shared" si="4"/>
        <v>3600000</v>
      </c>
      <c r="L18" s="117">
        <f t="shared" si="4"/>
        <v>1800000</v>
      </c>
      <c r="M18" s="117">
        <f t="shared" si="4"/>
        <v>0</v>
      </c>
      <c r="N18" s="117">
        <f>SUM(N19:N21)</f>
        <v>0</v>
      </c>
    </row>
    <row r="19" spans="1:14" s="39" customFormat="1" ht="15" customHeight="1">
      <c r="A19" s="46" t="s">
        <v>62</v>
      </c>
      <c r="B19" s="45" t="s">
        <v>765</v>
      </c>
      <c r="C19" s="117"/>
      <c r="D19" s="117"/>
      <c r="E19" s="117"/>
      <c r="F19" s="117"/>
      <c r="G19" s="117"/>
      <c r="H19" s="117"/>
      <c r="I19" s="117"/>
      <c r="J19" s="117"/>
      <c r="K19" s="117"/>
      <c r="L19" s="117"/>
      <c r="M19" s="117"/>
      <c r="N19" s="117"/>
    </row>
    <row r="20" spans="1:14" s="39" customFormat="1" ht="15" customHeight="1">
      <c r="A20" s="46" t="s">
        <v>63</v>
      </c>
      <c r="B20" s="45" t="s">
        <v>766</v>
      </c>
      <c r="C20" s="117"/>
      <c r="D20" s="117"/>
      <c r="E20" s="117"/>
      <c r="F20" s="117"/>
      <c r="G20" s="117"/>
      <c r="H20" s="117"/>
      <c r="I20" s="117"/>
      <c r="J20" s="117"/>
      <c r="K20" s="117"/>
      <c r="L20" s="117"/>
      <c r="M20" s="117"/>
      <c r="N20" s="117"/>
    </row>
    <row r="21" spans="1:14" s="39" customFormat="1" ht="15" customHeight="1">
      <c r="A21" s="46" t="s">
        <v>64</v>
      </c>
      <c r="B21" s="45" t="s">
        <v>743</v>
      </c>
      <c r="C21" s="117"/>
      <c r="D21" s="117"/>
      <c r="E21" s="117">
        <v>3600000</v>
      </c>
      <c r="F21" s="117">
        <v>3600000</v>
      </c>
      <c r="G21" s="117">
        <v>3600000</v>
      </c>
      <c r="H21" s="117">
        <v>3600000</v>
      </c>
      <c r="I21" s="117">
        <v>3600000</v>
      </c>
      <c r="J21" s="117">
        <v>3600000</v>
      </c>
      <c r="K21" s="117">
        <v>3600000</v>
      </c>
      <c r="L21" s="117">
        <f>K21/2</f>
        <v>1800000</v>
      </c>
      <c r="M21" s="117"/>
      <c r="N21" s="117"/>
    </row>
    <row r="22" spans="1:14" s="39" customFormat="1" ht="15" customHeight="1">
      <c r="A22" s="42" t="s">
        <v>755</v>
      </c>
      <c r="B22" s="44" t="s">
        <v>767</v>
      </c>
      <c r="C22" s="121">
        <f aca="true" t="shared" si="5" ref="C22:L22">SUM(C23:C24)</f>
        <v>0</v>
      </c>
      <c r="D22" s="121">
        <f t="shared" si="5"/>
        <v>0</v>
      </c>
      <c r="E22" s="121">
        <f t="shared" si="5"/>
        <v>0</v>
      </c>
      <c r="F22" s="121">
        <f t="shared" si="5"/>
        <v>0</v>
      </c>
      <c r="G22" s="121">
        <f t="shared" si="5"/>
        <v>0</v>
      </c>
      <c r="H22" s="121">
        <f t="shared" si="5"/>
        <v>0</v>
      </c>
      <c r="I22" s="121">
        <f t="shared" si="5"/>
        <v>0</v>
      </c>
      <c r="J22" s="121">
        <f t="shared" si="5"/>
        <v>0</v>
      </c>
      <c r="K22" s="121">
        <f t="shared" si="5"/>
        <v>0</v>
      </c>
      <c r="L22" s="121">
        <f t="shared" si="5"/>
        <v>0</v>
      </c>
      <c r="M22" s="121">
        <f>SUM(M23:M24)</f>
        <v>0</v>
      </c>
      <c r="N22" s="121">
        <f>SUM(N23:N24)</f>
        <v>0</v>
      </c>
    </row>
    <row r="23" spans="1:14" s="39" customFormat="1" ht="15" customHeight="1">
      <c r="A23" s="46" t="s">
        <v>77</v>
      </c>
      <c r="B23" s="64" t="s">
        <v>79</v>
      </c>
      <c r="C23" s="122"/>
      <c r="D23" s="122"/>
      <c r="E23" s="122"/>
      <c r="F23" s="122"/>
      <c r="G23" s="122"/>
      <c r="H23" s="122"/>
      <c r="I23" s="122"/>
      <c r="J23" s="122"/>
      <c r="K23" s="122"/>
      <c r="L23" s="122"/>
      <c r="M23" s="122"/>
      <c r="N23" s="122"/>
    </row>
    <row r="24" spans="1:14" s="39" customFormat="1" ht="15" customHeight="1">
      <c r="A24" s="46" t="s">
        <v>78</v>
      </c>
      <c r="B24" s="64" t="s">
        <v>80</v>
      </c>
      <c r="C24" s="122"/>
      <c r="D24" s="122"/>
      <c r="E24" s="122"/>
      <c r="F24" s="122"/>
      <c r="G24" s="122"/>
      <c r="H24" s="122"/>
      <c r="I24" s="122"/>
      <c r="J24" s="122"/>
      <c r="K24" s="122"/>
      <c r="L24" s="122"/>
      <c r="M24" s="122"/>
      <c r="N24" s="122"/>
    </row>
    <row r="25" spans="1:14" s="40" customFormat="1" ht="22.5" customHeight="1">
      <c r="A25" s="515">
        <v>2</v>
      </c>
      <c r="B25" s="516" t="s">
        <v>416</v>
      </c>
      <c r="C25" s="514">
        <f>C27++C38+C40+C35</f>
        <v>2280842</v>
      </c>
      <c r="D25" s="514">
        <f aca="true" t="shared" si="6" ref="D25:N25">D27++D38+D40+D35</f>
        <v>1460000</v>
      </c>
      <c r="E25" s="514">
        <f t="shared" si="6"/>
        <v>1994681</v>
      </c>
      <c r="F25" s="514">
        <f t="shared" si="6"/>
        <v>1921136</v>
      </c>
      <c r="G25" s="514">
        <f t="shared" si="6"/>
        <v>1936232</v>
      </c>
      <c r="H25" s="514">
        <f t="shared" si="6"/>
        <v>1918658</v>
      </c>
      <c r="I25" s="514">
        <f t="shared" si="6"/>
        <v>2393658</v>
      </c>
      <c r="J25" s="514">
        <f t="shared" si="6"/>
        <v>2318057</v>
      </c>
      <c r="K25" s="514">
        <f t="shared" si="6"/>
        <v>2243318</v>
      </c>
      <c r="L25" s="514">
        <f t="shared" si="6"/>
        <v>2038458</v>
      </c>
      <c r="M25" s="514">
        <f t="shared" si="6"/>
        <v>1954629</v>
      </c>
      <c r="N25" s="514">
        <f t="shared" si="6"/>
        <v>1021797</v>
      </c>
    </row>
    <row r="26" spans="1:14" s="40" customFormat="1" ht="15" customHeight="1">
      <c r="A26" s="38" t="s">
        <v>757</v>
      </c>
      <c r="B26" s="51" t="s">
        <v>74</v>
      </c>
      <c r="C26" s="513">
        <f aca="true" t="shared" si="7" ref="C26:N26">C27+C35+C38</f>
        <v>2007842</v>
      </c>
      <c r="D26" s="513">
        <f t="shared" si="7"/>
        <v>1105000</v>
      </c>
      <c r="E26" s="513">
        <f t="shared" si="7"/>
        <v>1587616</v>
      </c>
      <c r="F26" s="513">
        <f t="shared" si="7"/>
        <v>1469700</v>
      </c>
      <c r="G26" s="513">
        <f t="shared" si="7"/>
        <v>1469700</v>
      </c>
      <c r="H26" s="513">
        <f t="shared" si="7"/>
        <v>1453400</v>
      </c>
      <c r="I26" s="513">
        <f t="shared" si="7"/>
        <v>1928400</v>
      </c>
      <c r="J26" s="513">
        <f t="shared" si="7"/>
        <v>1928400</v>
      </c>
      <c r="K26" s="513">
        <f t="shared" si="7"/>
        <v>1928400</v>
      </c>
      <c r="L26" s="513">
        <f t="shared" si="7"/>
        <v>1800000</v>
      </c>
      <c r="M26" s="513">
        <f t="shared" si="7"/>
        <v>1800000</v>
      </c>
      <c r="N26" s="513">
        <f t="shared" si="7"/>
        <v>970000</v>
      </c>
    </row>
    <row r="27" spans="1:14" s="39" customFormat="1" ht="15" customHeight="1">
      <c r="A27" s="46" t="s">
        <v>56</v>
      </c>
      <c r="B27" s="511" t="s">
        <v>67</v>
      </c>
      <c r="C27" s="512">
        <f>SUM(C28:C32)</f>
        <v>2007842</v>
      </c>
      <c r="D27" s="512">
        <f>SUM(D28:D34)</f>
        <v>1105000</v>
      </c>
      <c r="E27" s="512">
        <f aca="true" t="shared" si="8" ref="E27:N27">SUM(E28:E34)</f>
        <v>1021316</v>
      </c>
      <c r="F27" s="512">
        <f t="shared" si="8"/>
        <v>475000</v>
      </c>
      <c r="G27" s="512">
        <f t="shared" si="8"/>
        <v>475000</v>
      </c>
      <c r="H27" s="512">
        <f t="shared" si="8"/>
        <v>1025000</v>
      </c>
      <c r="I27" s="512">
        <f t="shared" si="8"/>
        <v>0</v>
      </c>
      <c r="J27" s="512">
        <f t="shared" si="8"/>
        <v>0</v>
      </c>
      <c r="K27" s="512">
        <f t="shared" si="8"/>
        <v>0</v>
      </c>
      <c r="L27" s="512">
        <f t="shared" si="8"/>
        <v>0</v>
      </c>
      <c r="M27" s="512">
        <f t="shared" si="8"/>
        <v>0</v>
      </c>
      <c r="N27" s="512">
        <f t="shared" si="8"/>
        <v>0</v>
      </c>
    </row>
    <row r="28" spans="1:14" s="39" customFormat="1" ht="15" customHeight="1">
      <c r="A28" s="46"/>
      <c r="B28" s="116" t="s">
        <v>373</v>
      </c>
      <c r="C28" s="123"/>
      <c r="D28" s="117"/>
      <c r="E28" s="117"/>
      <c r="F28" s="117"/>
      <c r="G28" s="117"/>
      <c r="H28" s="117"/>
      <c r="I28" s="117"/>
      <c r="J28" s="117"/>
      <c r="K28" s="117"/>
      <c r="L28" s="117"/>
      <c r="M28" s="117"/>
      <c r="N28" s="117"/>
    </row>
    <row r="29" spans="1:14" s="39" customFormat="1" ht="15" customHeight="1">
      <c r="A29" s="46"/>
      <c r="B29" s="116" t="s">
        <v>374</v>
      </c>
      <c r="C29" s="123">
        <v>157842</v>
      </c>
      <c r="D29" s="115"/>
      <c r="E29" s="117"/>
      <c r="F29" s="117"/>
      <c r="G29" s="124"/>
      <c r="H29" s="117"/>
      <c r="I29" s="117"/>
      <c r="J29" s="117"/>
      <c r="K29" s="117"/>
      <c r="L29" s="117"/>
      <c r="M29" s="117"/>
      <c r="N29" s="117"/>
    </row>
    <row r="30" spans="1:14" s="39" customFormat="1" ht="15" customHeight="1">
      <c r="A30" s="46"/>
      <c r="B30" s="116" t="s">
        <v>375</v>
      </c>
      <c r="C30" s="123">
        <v>800000</v>
      </c>
      <c r="E30" s="117"/>
      <c r="F30" s="117"/>
      <c r="G30" s="124"/>
      <c r="H30" s="117"/>
      <c r="I30" s="117"/>
      <c r="J30" s="117"/>
      <c r="K30" s="117"/>
      <c r="L30" s="117"/>
      <c r="M30" s="117"/>
      <c r="N30" s="117"/>
    </row>
    <row r="31" spans="1:14" s="39" customFormat="1" ht="15" customHeight="1">
      <c r="A31" s="46"/>
      <c r="B31" s="116" t="s">
        <v>376</v>
      </c>
      <c r="C31" s="123">
        <v>1000000</v>
      </c>
      <c r="D31" s="125">
        <v>1000000</v>
      </c>
      <c r="E31" s="126">
        <v>921316</v>
      </c>
      <c r="F31" s="115"/>
      <c r="G31" s="117"/>
      <c r="H31" s="117"/>
      <c r="I31" s="117"/>
      <c r="J31" s="117"/>
      <c r="K31" s="117"/>
      <c r="L31" s="117"/>
      <c r="M31" s="117"/>
      <c r="N31" s="117"/>
    </row>
    <row r="32" spans="1:14" s="39" customFormat="1" ht="15" customHeight="1">
      <c r="A32" s="46"/>
      <c r="B32" s="116" t="s">
        <v>378</v>
      </c>
      <c r="C32" s="117">
        <v>50000</v>
      </c>
      <c r="D32" s="125">
        <v>50000</v>
      </c>
      <c r="E32" s="126">
        <v>50000</v>
      </c>
      <c r="F32" s="124">
        <v>425000</v>
      </c>
      <c r="G32" s="117">
        <v>425000</v>
      </c>
      <c r="H32" s="115"/>
      <c r="I32" s="115"/>
      <c r="J32" s="115"/>
      <c r="K32" s="115"/>
      <c r="L32" s="115"/>
      <c r="M32" s="115"/>
      <c r="N32" s="115"/>
    </row>
    <row r="33" spans="1:14" s="39" customFormat="1" ht="15" customHeight="1">
      <c r="A33" s="46"/>
      <c r="B33" s="116" t="s">
        <v>649</v>
      </c>
      <c r="C33" s="117"/>
      <c r="D33" s="125">
        <v>55000</v>
      </c>
      <c r="E33" s="126">
        <v>50000</v>
      </c>
      <c r="F33" s="124">
        <v>50000</v>
      </c>
      <c r="G33" s="117">
        <v>50000</v>
      </c>
      <c r="H33" s="251">
        <v>1025000</v>
      </c>
      <c r="I33" s="251"/>
      <c r="J33" s="251"/>
      <c r="K33" s="251"/>
      <c r="L33" s="251"/>
      <c r="M33" s="251"/>
      <c r="N33" s="251"/>
    </row>
    <row r="34" spans="1:15" s="39" customFormat="1" ht="15" customHeight="1">
      <c r="A34" s="46"/>
      <c r="B34" s="116" t="s">
        <v>140</v>
      </c>
      <c r="C34" s="117"/>
      <c r="D34" s="125"/>
      <c r="E34" s="126"/>
      <c r="F34" s="124"/>
      <c r="G34" s="124"/>
      <c r="H34" s="124"/>
      <c r="I34" s="124"/>
      <c r="J34" s="124"/>
      <c r="K34" s="124"/>
      <c r="L34" s="124"/>
      <c r="M34" s="251"/>
      <c r="N34" s="251"/>
      <c r="O34" s="395"/>
    </row>
    <row r="35" spans="1:14" s="39" customFormat="1" ht="15" customHeight="1">
      <c r="A35" s="510" t="s">
        <v>57</v>
      </c>
      <c r="B35" s="511" t="s">
        <v>69</v>
      </c>
      <c r="C35" s="512">
        <f>SUM(C36:C37)</f>
        <v>0</v>
      </c>
      <c r="D35" s="512">
        <f aca="true" t="shared" si="9" ref="D35:N35">SUM(D36:D37)</f>
        <v>0</v>
      </c>
      <c r="E35" s="512">
        <f t="shared" si="9"/>
        <v>0</v>
      </c>
      <c r="F35" s="512">
        <f t="shared" si="9"/>
        <v>0</v>
      </c>
      <c r="G35" s="512">
        <f t="shared" si="9"/>
        <v>0</v>
      </c>
      <c r="H35" s="512">
        <f t="shared" si="9"/>
        <v>0</v>
      </c>
      <c r="I35" s="512">
        <f t="shared" si="9"/>
        <v>1500000</v>
      </c>
      <c r="J35" s="512">
        <f t="shared" si="9"/>
        <v>1500000</v>
      </c>
      <c r="K35" s="512">
        <f t="shared" si="9"/>
        <v>1500000</v>
      </c>
      <c r="L35" s="512">
        <f t="shared" si="9"/>
        <v>1800000</v>
      </c>
      <c r="M35" s="512">
        <f t="shared" si="9"/>
        <v>1800000</v>
      </c>
      <c r="N35" s="512">
        <f t="shared" si="9"/>
        <v>970000</v>
      </c>
    </row>
    <row r="36" spans="1:14" s="39" customFormat="1" ht="15" customHeight="1">
      <c r="A36" s="46"/>
      <c r="B36" s="45" t="s">
        <v>455</v>
      </c>
      <c r="C36" s="117"/>
      <c r="D36" s="117"/>
      <c r="E36" s="117"/>
      <c r="F36" s="117"/>
      <c r="G36" s="117"/>
      <c r="H36" s="117"/>
      <c r="I36" s="117">
        <v>1500000</v>
      </c>
      <c r="J36" s="117">
        <v>1500000</v>
      </c>
      <c r="K36" s="117">
        <v>1500000</v>
      </c>
      <c r="L36" s="117"/>
      <c r="M36" s="117"/>
      <c r="N36" s="117">
        <v>970000</v>
      </c>
    </row>
    <row r="37" spans="1:14" s="39" customFormat="1" ht="15" customHeight="1">
      <c r="A37" s="46"/>
      <c r="B37" s="45" t="s">
        <v>135</v>
      </c>
      <c r="C37" s="117"/>
      <c r="D37" s="117"/>
      <c r="E37" s="117"/>
      <c r="F37" s="117"/>
      <c r="G37" s="117"/>
      <c r="H37" s="117"/>
      <c r="I37" s="117"/>
      <c r="J37" s="117"/>
      <c r="K37" s="117"/>
      <c r="L37" s="117">
        <v>1800000</v>
      </c>
      <c r="M37" s="117">
        <v>1800000</v>
      </c>
      <c r="N37" s="117"/>
    </row>
    <row r="38" spans="1:15" s="39" customFormat="1" ht="15" customHeight="1">
      <c r="A38" s="510" t="s">
        <v>58</v>
      </c>
      <c r="B38" s="511" t="s">
        <v>68</v>
      </c>
      <c r="C38" s="512"/>
      <c r="D38" s="512"/>
      <c r="E38" s="512">
        <f>386300+180000</f>
        <v>566300</v>
      </c>
      <c r="F38" s="512">
        <f>428400+386300+180000</f>
        <v>994700</v>
      </c>
      <c r="G38" s="512">
        <f>428400+386300+180000</f>
        <v>994700</v>
      </c>
      <c r="H38" s="512">
        <v>428400</v>
      </c>
      <c r="I38" s="512">
        <v>428400</v>
      </c>
      <c r="J38" s="512">
        <v>428400</v>
      </c>
      <c r="K38" s="512">
        <v>428400</v>
      </c>
      <c r="L38" s="512"/>
      <c r="M38" s="512"/>
      <c r="N38" s="512"/>
      <c r="O38" s="395"/>
    </row>
    <row r="39" spans="1:14" s="39" customFormat="1" ht="15" customHeight="1">
      <c r="A39" s="42" t="s">
        <v>758</v>
      </c>
      <c r="B39" s="44" t="s">
        <v>66</v>
      </c>
      <c r="C39" s="127">
        <v>0</v>
      </c>
      <c r="D39" s="127">
        <v>0</v>
      </c>
      <c r="E39" s="127">
        <v>0</v>
      </c>
      <c r="F39" s="127">
        <v>0</v>
      </c>
      <c r="G39" s="127"/>
      <c r="H39" s="127"/>
      <c r="I39" s="127"/>
      <c r="J39" s="127"/>
      <c r="K39" s="127"/>
      <c r="L39" s="127"/>
      <c r="M39" s="127"/>
      <c r="N39" s="127"/>
    </row>
    <row r="40" spans="1:15" s="63" customFormat="1" ht="14.25" customHeight="1">
      <c r="A40" s="505" t="s">
        <v>55</v>
      </c>
      <c r="B40" s="506" t="s">
        <v>65</v>
      </c>
      <c r="C40" s="507">
        <f>267000+6000</f>
        <v>273000</v>
      </c>
      <c r="D40" s="507">
        <v>355000</v>
      </c>
      <c r="E40" s="507">
        <f>2!Q227</f>
        <v>407065</v>
      </c>
      <c r="F40" s="507">
        <v>451436</v>
      </c>
      <c r="G40" s="507">
        <v>466532</v>
      </c>
      <c r="H40" s="508">
        <v>465258</v>
      </c>
      <c r="I40" s="508">
        <v>465258</v>
      </c>
      <c r="J40" s="508">
        <v>389657</v>
      </c>
      <c r="K40" s="508">
        <v>314918</v>
      </c>
      <c r="L40" s="509">
        <v>238458</v>
      </c>
      <c r="M40" s="509">
        <v>154629</v>
      </c>
      <c r="N40" s="509">
        <v>51797</v>
      </c>
      <c r="O40"/>
    </row>
    <row r="41" spans="1:14" s="40" customFormat="1" ht="22.5" customHeight="1">
      <c r="A41" s="38" t="s">
        <v>676</v>
      </c>
      <c r="B41" s="51" t="s">
        <v>768</v>
      </c>
      <c r="C41" s="353">
        <v>48993479</v>
      </c>
      <c r="D41" s="118">
        <v>61713288</v>
      </c>
      <c r="E41" s="118">
        <f>1!E184</f>
        <v>65265977</v>
      </c>
      <c r="F41" s="118">
        <f>ROUND(E41,-3)-6500000</f>
        <v>58766000</v>
      </c>
      <c r="G41" s="118">
        <f>ROUND(F41*101%,-3)</f>
        <v>59354000</v>
      </c>
      <c r="H41" s="118">
        <f>ROUND(G41*101%,-3)</f>
        <v>59948000</v>
      </c>
      <c r="I41" s="118">
        <f aca="true" t="shared" si="10" ref="I41:N41">ROUND(H41*101%,-3)</f>
        <v>60547000</v>
      </c>
      <c r="J41" s="118">
        <f t="shared" si="10"/>
        <v>61152000</v>
      </c>
      <c r="K41" s="118">
        <f t="shared" si="10"/>
        <v>61764000</v>
      </c>
      <c r="L41" s="118">
        <f t="shared" si="10"/>
        <v>62382000</v>
      </c>
      <c r="M41" s="118">
        <f t="shared" si="10"/>
        <v>63006000</v>
      </c>
      <c r="N41" s="118">
        <f t="shared" si="10"/>
        <v>63636000</v>
      </c>
    </row>
    <row r="42" spans="1:14" s="59" customFormat="1" ht="22.5" customHeight="1">
      <c r="A42" s="38" t="s">
        <v>664</v>
      </c>
      <c r="B42" s="51" t="s">
        <v>785</v>
      </c>
      <c r="C42" s="118">
        <v>50261239</v>
      </c>
      <c r="D42" s="118">
        <v>67562083</v>
      </c>
      <c r="E42" s="118">
        <f>2!E776</f>
        <v>72340377</v>
      </c>
      <c r="F42" s="118">
        <f>ROUND(E42,-3)</f>
        <v>72340000</v>
      </c>
      <c r="G42" s="118">
        <f>ROUND(F42*101%,-3)</f>
        <v>73063000</v>
      </c>
      <c r="H42" s="118">
        <f aca="true" t="shared" si="11" ref="H42:N42">ROUND(G42*101%,-3)</f>
        <v>73794000</v>
      </c>
      <c r="I42" s="118">
        <f t="shared" si="11"/>
        <v>74532000</v>
      </c>
      <c r="J42" s="118">
        <f t="shared" si="11"/>
        <v>75277000</v>
      </c>
      <c r="K42" s="118">
        <f t="shared" si="11"/>
        <v>76030000</v>
      </c>
      <c r="L42" s="118">
        <f t="shared" si="11"/>
        <v>76790000</v>
      </c>
      <c r="M42" s="118">
        <f t="shared" si="11"/>
        <v>77558000</v>
      </c>
      <c r="N42" s="118">
        <f t="shared" si="11"/>
        <v>78334000</v>
      </c>
    </row>
    <row r="43" spans="1:14" s="59" customFormat="1" ht="22.5" customHeight="1">
      <c r="A43" s="38" t="s">
        <v>681</v>
      </c>
      <c r="B43" s="51" t="s">
        <v>786</v>
      </c>
      <c r="C43" s="118">
        <f>C41-C42</f>
        <v>-1267760</v>
      </c>
      <c r="D43" s="118">
        <f aca="true" t="shared" si="12" ref="D43:I43">D41-D42</f>
        <v>-5848795</v>
      </c>
      <c r="E43" s="118">
        <f t="shared" si="12"/>
        <v>-7074400</v>
      </c>
      <c r="F43" s="118">
        <f t="shared" si="12"/>
        <v>-13574000</v>
      </c>
      <c r="G43" s="118">
        <f t="shared" si="12"/>
        <v>-13709000</v>
      </c>
      <c r="H43" s="118">
        <f t="shared" si="12"/>
        <v>-13846000</v>
      </c>
      <c r="I43" s="118">
        <f t="shared" si="12"/>
        <v>-13985000</v>
      </c>
      <c r="J43" s="118">
        <f>J41-J42</f>
        <v>-14125000</v>
      </c>
      <c r="K43" s="118">
        <f>K41-K42</f>
        <v>-14266000</v>
      </c>
      <c r="L43" s="118">
        <f>L41-L42</f>
        <v>-14408000</v>
      </c>
      <c r="M43" s="118">
        <f>M41-M42</f>
        <v>-14552000</v>
      </c>
      <c r="N43" s="118">
        <f>N41-N42</f>
        <v>-14698000</v>
      </c>
    </row>
    <row r="44" spans="1:14" s="40" customFormat="1" ht="22.5" customHeight="1">
      <c r="A44" s="38" t="s">
        <v>684</v>
      </c>
      <c r="B44" s="51" t="s">
        <v>769</v>
      </c>
      <c r="C44" s="118"/>
      <c r="D44" s="118"/>
      <c r="E44" s="118"/>
      <c r="F44" s="118"/>
      <c r="G44" s="118"/>
      <c r="H44" s="118"/>
      <c r="I44" s="118"/>
      <c r="J44" s="118"/>
      <c r="K44" s="118"/>
      <c r="L44" s="118"/>
      <c r="M44" s="118"/>
      <c r="N44" s="118"/>
    </row>
    <row r="45" spans="1:14" s="39" customFormat="1" ht="15" customHeight="1">
      <c r="A45" s="42" t="s">
        <v>70</v>
      </c>
      <c r="B45" s="43" t="s">
        <v>418</v>
      </c>
      <c r="C45" s="128">
        <f aca="true" t="shared" si="13" ref="C45:N45">(C7-C22)/C41</f>
        <v>0.08371146698931096</v>
      </c>
      <c r="D45" s="128">
        <f t="shared" si="13"/>
        <v>0.13718789379687565</v>
      </c>
      <c r="E45" s="128">
        <f t="shared" si="13"/>
        <v>0.16923059314656394</v>
      </c>
      <c r="F45" s="128">
        <f t="shared" si="13"/>
        <v>0.17986590885886397</v>
      </c>
      <c r="G45" s="128">
        <f t="shared" si="13"/>
        <v>0.17008120766923882</v>
      </c>
      <c r="H45" s="128">
        <f t="shared" si="13"/>
        <v>0.15129779141923</v>
      </c>
      <c r="I45" s="128">
        <f t="shared" si="13"/>
        <v>0.12502683865426859</v>
      </c>
      <c r="J45" s="128">
        <f t="shared" si="13"/>
        <v>0.09926085818942962</v>
      </c>
      <c r="K45" s="128">
        <f t="shared" si="13"/>
        <v>0.07399132180558254</v>
      </c>
      <c r="L45" s="128">
        <f t="shared" si="13"/>
        <v>0.04440383443942163</v>
      </c>
      <c r="M45" s="128">
        <f t="shared" si="13"/>
        <v>0.015395359172142336</v>
      </c>
      <c r="N45" s="128">
        <f t="shared" si="13"/>
        <v>0</v>
      </c>
    </row>
    <row r="46" spans="1:14" s="39" customFormat="1" ht="28.5" customHeight="1">
      <c r="A46" s="42" t="s">
        <v>71</v>
      </c>
      <c r="B46" s="43" t="s">
        <v>417</v>
      </c>
      <c r="C46" s="128">
        <f aca="true" t="shared" si="14" ref="C46:N46">(C8+C18)/C41</f>
        <v>0.08371146698931096</v>
      </c>
      <c r="D46" s="128">
        <f t="shared" si="14"/>
        <v>0.13718789379687565</v>
      </c>
      <c r="E46" s="128">
        <f t="shared" si="14"/>
        <v>0.16923059314656394</v>
      </c>
      <c r="F46" s="128">
        <f t="shared" si="14"/>
        <v>0.17986590885886397</v>
      </c>
      <c r="G46" s="128">
        <f t="shared" si="14"/>
        <v>0.17008120766923882</v>
      </c>
      <c r="H46" s="128">
        <f t="shared" si="14"/>
        <v>0.15129779141923</v>
      </c>
      <c r="I46" s="128">
        <f t="shared" si="14"/>
        <v>0.12502683865426859</v>
      </c>
      <c r="J46" s="128">
        <f t="shared" si="14"/>
        <v>0.09926085818942962</v>
      </c>
      <c r="K46" s="128">
        <f t="shared" si="14"/>
        <v>0.07399132180558254</v>
      </c>
      <c r="L46" s="128">
        <f t="shared" si="14"/>
        <v>0.04440383443942163</v>
      </c>
      <c r="M46" s="128">
        <f t="shared" si="14"/>
        <v>0.015395359172142336</v>
      </c>
      <c r="N46" s="128">
        <f t="shared" si="14"/>
        <v>0</v>
      </c>
    </row>
    <row r="47" spans="1:14" s="39" customFormat="1" ht="15" customHeight="1">
      <c r="A47" s="42" t="s">
        <v>72</v>
      </c>
      <c r="B47" s="43" t="s">
        <v>81</v>
      </c>
      <c r="C47" s="128">
        <f aca="true" t="shared" si="15" ref="C47:N47">C25/C41</f>
        <v>0.04655399139954931</v>
      </c>
      <c r="D47" s="128">
        <f t="shared" si="15"/>
        <v>0.023657789875010386</v>
      </c>
      <c r="E47" s="128">
        <f t="shared" si="15"/>
        <v>0.030562340314004646</v>
      </c>
      <c r="F47" s="128">
        <f t="shared" si="15"/>
        <v>0.03269128407582616</v>
      </c>
      <c r="G47" s="128">
        <f t="shared" si="15"/>
        <v>0.032621760959665735</v>
      </c>
      <c r="H47" s="128">
        <f t="shared" si="15"/>
        <v>0.032005371321812234</v>
      </c>
      <c r="I47" s="128">
        <f t="shared" si="15"/>
        <v>0.039533882768758154</v>
      </c>
      <c r="J47" s="128">
        <f t="shared" si="15"/>
        <v>0.03790647893772894</v>
      </c>
      <c r="K47" s="128">
        <f t="shared" si="15"/>
        <v>0.03632080176154394</v>
      </c>
      <c r="L47" s="128">
        <f t="shared" si="15"/>
        <v>0.032677022217947486</v>
      </c>
      <c r="M47" s="128">
        <f t="shared" si="15"/>
        <v>0.0310229025807066</v>
      </c>
      <c r="N47" s="128">
        <f t="shared" si="15"/>
        <v>0.016056901753724307</v>
      </c>
    </row>
    <row r="48" spans="1:14" s="39" customFormat="1" ht="25.5" customHeight="1">
      <c r="A48" s="42" t="s">
        <v>73</v>
      </c>
      <c r="B48" s="43" t="s">
        <v>82</v>
      </c>
      <c r="C48" s="128">
        <f>(C26+C40)/C41</f>
        <v>0.04655399139954931</v>
      </c>
      <c r="D48" s="128">
        <f>(D26+D40)/D41</f>
        <v>0.023657789875010386</v>
      </c>
      <c r="E48" s="128">
        <f aca="true" t="shared" si="16" ref="E48:N48">(E26+D40)/E41</f>
        <v>0.029764604611679988</v>
      </c>
      <c r="F48" s="128">
        <f t="shared" si="16"/>
        <v>0.03193623864139128</v>
      </c>
      <c r="G48" s="128">
        <f t="shared" si="16"/>
        <v>0.0323674225831452</v>
      </c>
      <c r="H48" s="128">
        <f t="shared" si="16"/>
        <v>0.03202662307333022</v>
      </c>
      <c r="I48" s="128">
        <f t="shared" si="16"/>
        <v>0.039533882768758154</v>
      </c>
      <c r="J48" s="128">
        <f t="shared" si="16"/>
        <v>0.039142759026687596</v>
      </c>
      <c r="K48" s="128">
        <f t="shared" si="16"/>
        <v>0.037530875590959134</v>
      </c>
      <c r="L48" s="128">
        <f t="shared" si="16"/>
        <v>0.03390269629059665</v>
      </c>
      <c r="M48" s="128">
        <f t="shared" si="16"/>
        <v>0.032353394914770024</v>
      </c>
      <c r="N48" s="128">
        <f t="shared" si="16"/>
        <v>0.01767284241624238</v>
      </c>
    </row>
    <row r="52" ht="12.75">
      <c r="E52" s="73"/>
    </row>
  </sheetData>
  <sheetProtection/>
  <mergeCells count="5">
    <mergeCell ref="A1:H1"/>
    <mergeCell ref="A4:A5"/>
    <mergeCell ref="B4:B5"/>
    <mergeCell ref="C4:C5"/>
    <mergeCell ref="D4:D5"/>
  </mergeCells>
  <printOptions horizontalCentered="1" verticalCentered="1"/>
  <pageMargins left="0.5905511811023623" right="0.5905511811023623" top="0.7086614173228347" bottom="0.5511811023622047" header="0.5118110236220472" footer="0.31496062992125984"/>
  <pageSetup horizontalDpi="600" verticalDpi="600" orientation="landscape" paperSize="9" scale="60" r:id="rId1"/>
  <headerFooter alignWithMargins="0">
    <oddHeader>&amp;R&amp;9Załącznik nr 16
do uchwały Rady Powiatu 
nr XXXIV/210/10
z dnia 15.10.2010 r.</oddHeader>
  </headerFooter>
</worksheet>
</file>

<file path=xl/worksheets/sheet2.xml><?xml version="1.0" encoding="utf-8"?>
<worksheet xmlns="http://schemas.openxmlformats.org/spreadsheetml/2006/main" xmlns:r="http://schemas.openxmlformats.org/officeDocument/2006/relationships">
  <dimension ref="A1:V793"/>
  <sheetViews>
    <sheetView tabSelected="1" zoomScale="75" zoomScaleNormal="75" zoomScalePageLayoutView="0" workbookViewId="0" topLeftCell="F1">
      <pane ySplit="7" topLeftCell="A755" activePane="bottomLeft" state="frozen"/>
      <selection pane="topLeft" activeCell="F1" sqref="F1"/>
      <selection pane="bottomLeft" activeCell="A780" sqref="A780:IV811"/>
    </sheetView>
  </sheetViews>
  <sheetFormatPr defaultColWidth="9.00390625" defaultRowHeight="12.75"/>
  <cols>
    <col min="1" max="1" width="3.625" style="197" customWidth="1"/>
    <col min="2" max="2" width="6.75390625" style="197" customWidth="1"/>
    <col min="3" max="3" width="6.00390625" style="598" customWidth="1"/>
    <col min="4" max="4" width="23.00390625" style="472" customWidth="1"/>
    <col min="5" max="5" width="15.625" style="439" customWidth="1"/>
    <col min="6" max="6" width="16.75390625" style="439" customWidth="1"/>
    <col min="7" max="7" width="13.375" style="439" customWidth="1"/>
    <col min="8" max="8" width="15.125" style="439" customWidth="1"/>
    <col min="9" max="9" width="13.625" style="604" customWidth="1"/>
    <col min="10" max="10" width="13.125" style="439" customWidth="1"/>
    <col min="11" max="11" width="13.00390625" style="439" customWidth="1"/>
    <col min="12" max="14" width="12.875" style="439" customWidth="1"/>
    <col min="15" max="15" width="13.875" style="439" customWidth="1"/>
    <col min="16" max="17" width="11.125" style="439" customWidth="1"/>
    <col min="18" max="18" width="11.875" style="439" customWidth="1"/>
    <col min="19" max="19" width="13.875" style="439" customWidth="1"/>
    <col min="20" max="20" width="14.875" style="439" customWidth="1"/>
    <col min="21" max="21" width="14.125" style="439" customWidth="1"/>
    <col min="22" max="22" width="12.625" style="439" customWidth="1"/>
    <col min="23" max="23" width="11.00390625" style="282" bestFit="1" customWidth="1"/>
    <col min="24" max="24" width="11.00390625" style="282" customWidth="1"/>
    <col min="25" max="16384" width="9.125" style="282" customWidth="1"/>
  </cols>
  <sheetData>
    <row r="1" spans="1:22" ht="27" customHeight="1">
      <c r="A1" s="727" t="s">
        <v>143</v>
      </c>
      <c r="B1" s="727"/>
      <c r="C1" s="727"/>
      <c r="D1" s="727"/>
      <c r="E1" s="727"/>
      <c r="F1" s="727"/>
      <c r="G1" s="727"/>
      <c r="H1" s="727"/>
      <c r="I1" s="727"/>
      <c r="J1" s="727"/>
      <c r="K1" s="727"/>
      <c r="L1" s="727"/>
      <c r="M1" s="727"/>
      <c r="N1" s="727"/>
      <c r="O1" s="727"/>
      <c r="P1" s="727"/>
      <c r="Q1" s="727"/>
      <c r="R1" s="727"/>
      <c r="S1" s="727"/>
      <c r="T1" s="282"/>
      <c r="U1" s="282"/>
      <c r="V1" s="282"/>
    </row>
    <row r="2" spans="1:22" s="441" customFormat="1" ht="15.75">
      <c r="A2" s="728" t="s">
        <v>665</v>
      </c>
      <c r="B2" s="728" t="s">
        <v>666</v>
      </c>
      <c r="C2" s="736" t="s">
        <v>667</v>
      </c>
      <c r="D2" s="729" t="s">
        <v>680</v>
      </c>
      <c r="E2" s="720" t="s">
        <v>141</v>
      </c>
      <c r="F2" s="737" t="s">
        <v>738</v>
      </c>
      <c r="G2" s="738"/>
      <c r="H2" s="738"/>
      <c r="I2" s="738"/>
      <c r="J2" s="738"/>
      <c r="K2" s="738"/>
      <c r="L2" s="738"/>
      <c r="M2" s="738"/>
      <c r="N2" s="738"/>
      <c r="O2" s="738"/>
      <c r="P2" s="738"/>
      <c r="Q2" s="738"/>
      <c r="R2" s="738"/>
      <c r="S2" s="738"/>
      <c r="T2" s="738"/>
      <c r="U2" s="738"/>
      <c r="V2" s="739"/>
    </row>
    <row r="3" spans="1:22" s="441" customFormat="1" ht="15.75" customHeight="1">
      <c r="A3" s="728"/>
      <c r="B3" s="728"/>
      <c r="C3" s="736"/>
      <c r="D3" s="729"/>
      <c r="E3" s="720"/>
      <c r="F3" s="720" t="s">
        <v>700</v>
      </c>
      <c r="G3" s="717" t="s">
        <v>669</v>
      </c>
      <c r="H3" s="718"/>
      <c r="I3" s="718"/>
      <c r="J3" s="718"/>
      <c r="K3" s="718"/>
      <c r="L3" s="718"/>
      <c r="M3" s="718"/>
      <c r="N3" s="718"/>
      <c r="O3" s="718"/>
      <c r="P3" s="718"/>
      <c r="Q3" s="718"/>
      <c r="R3" s="719"/>
      <c r="S3" s="720" t="s">
        <v>702</v>
      </c>
      <c r="T3" s="720" t="s">
        <v>18</v>
      </c>
      <c r="U3" s="720"/>
      <c r="V3" s="720"/>
    </row>
    <row r="4" spans="1:22" s="441" customFormat="1" ht="21.75" customHeight="1">
      <c r="A4" s="728"/>
      <c r="B4" s="728"/>
      <c r="C4" s="736"/>
      <c r="D4" s="729"/>
      <c r="E4" s="720"/>
      <c r="F4" s="720"/>
      <c r="G4" s="721" t="s">
        <v>13</v>
      </c>
      <c r="H4" s="730" t="s">
        <v>15</v>
      </c>
      <c r="I4" s="731"/>
      <c r="J4" s="731"/>
      <c r="K4" s="731"/>
      <c r="L4" s="731"/>
      <c r="M4" s="732"/>
      <c r="N4" s="721" t="s">
        <v>16</v>
      </c>
      <c r="O4" s="721" t="s">
        <v>760</v>
      </c>
      <c r="P4" s="721" t="s">
        <v>12</v>
      </c>
      <c r="Q4" s="721" t="s">
        <v>789</v>
      </c>
      <c r="R4" s="721" t="s">
        <v>1</v>
      </c>
      <c r="S4" s="720"/>
      <c r="T4" s="721" t="s">
        <v>19</v>
      </c>
      <c r="U4" s="440" t="s">
        <v>15</v>
      </c>
      <c r="V4" s="721" t="s">
        <v>21</v>
      </c>
    </row>
    <row r="5" spans="1:22" s="441" customFormat="1" ht="9.75" customHeight="1">
      <c r="A5" s="728"/>
      <c r="B5" s="728"/>
      <c r="C5" s="736"/>
      <c r="D5" s="729"/>
      <c r="E5" s="720"/>
      <c r="F5" s="720"/>
      <c r="G5" s="722"/>
      <c r="H5" s="733"/>
      <c r="I5" s="734"/>
      <c r="J5" s="734"/>
      <c r="K5" s="734"/>
      <c r="L5" s="734"/>
      <c r="M5" s="735"/>
      <c r="N5" s="722"/>
      <c r="O5" s="722"/>
      <c r="P5" s="722"/>
      <c r="Q5" s="722"/>
      <c r="R5" s="722"/>
      <c r="S5" s="720"/>
      <c r="T5" s="722"/>
      <c r="U5" s="602"/>
      <c r="V5" s="722"/>
    </row>
    <row r="6" spans="1:22" s="441" customFormat="1" ht="15.75" customHeight="1">
      <c r="A6" s="728"/>
      <c r="B6" s="728"/>
      <c r="C6" s="736"/>
      <c r="D6" s="729"/>
      <c r="E6" s="720"/>
      <c r="F6" s="720"/>
      <c r="G6" s="722"/>
      <c r="H6" s="720" t="s">
        <v>2</v>
      </c>
      <c r="I6" s="720" t="s">
        <v>14</v>
      </c>
      <c r="J6" s="717" t="s">
        <v>17</v>
      </c>
      <c r="K6" s="718"/>
      <c r="L6" s="718"/>
      <c r="M6" s="719"/>
      <c r="N6" s="722"/>
      <c r="O6" s="722"/>
      <c r="P6" s="722"/>
      <c r="Q6" s="722"/>
      <c r="R6" s="722"/>
      <c r="S6" s="720"/>
      <c r="T6" s="722"/>
      <c r="U6" s="722" t="s">
        <v>20</v>
      </c>
      <c r="V6" s="722"/>
    </row>
    <row r="7" spans="1:22" s="441" customFormat="1" ht="78.75">
      <c r="A7" s="728"/>
      <c r="B7" s="728"/>
      <c r="C7" s="736"/>
      <c r="D7" s="729"/>
      <c r="E7" s="720"/>
      <c r="F7" s="720"/>
      <c r="G7" s="723"/>
      <c r="H7" s="720"/>
      <c r="I7" s="720"/>
      <c r="J7" s="440" t="s">
        <v>3</v>
      </c>
      <c r="K7" s="440" t="s">
        <v>297</v>
      </c>
      <c r="L7" s="440" t="s">
        <v>4</v>
      </c>
      <c r="M7" s="440" t="s">
        <v>5</v>
      </c>
      <c r="N7" s="723"/>
      <c r="O7" s="723"/>
      <c r="P7" s="723"/>
      <c r="Q7" s="723"/>
      <c r="R7" s="723"/>
      <c r="S7" s="720"/>
      <c r="T7" s="723"/>
      <c r="U7" s="723"/>
      <c r="V7" s="723"/>
    </row>
    <row r="8" spans="1:22" s="441" customFormat="1" ht="15.75">
      <c r="A8" s="569">
        <v>1</v>
      </c>
      <c r="B8" s="569">
        <v>2</v>
      </c>
      <c r="C8" s="586">
        <v>3</v>
      </c>
      <c r="D8" s="442">
        <v>4</v>
      </c>
      <c r="E8" s="443">
        <v>5</v>
      </c>
      <c r="F8" s="443">
        <v>6</v>
      </c>
      <c r="G8" s="443">
        <v>7</v>
      </c>
      <c r="H8" s="443">
        <v>8</v>
      </c>
      <c r="I8" s="603">
        <v>9</v>
      </c>
      <c r="J8" s="443">
        <v>10</v>
      </c>
      <c r="K8" s="443">
        <v>11</v>
      </c>
      <c r="L8" s="443">
        <v>12</v>
      </c>
      <c r="M8" s="443">
        <v>13</v>
      </c>
      <c r="N8" s="443">
        <v>14</v>
      </c>
      <c r="O8" s="443">
        <v>15</v>
      </c>
      <c r="P8" s="443">
        <v>16</v>
      </c>
      <c r="Q8" s="443">
        <v>17</v>
      </c>
      <c r="R8" s="443">
        <v>18</v>
      </c>
      <c r="S8" s="443">
        <v>19</v>
      </c>
      <c r="T8" s="443">
        <v>20</v>
      </c>
      <c r="U8" s="443">
        <v>21</v>
      </c>
      <c r="V8" s="443">
        <v>22</v>
      </c>
    </row>
    <row r="9" spans="1:22" s="446" customFormat="1" ht="31.5">
      <c r="A9" s="570" t="s">
        <v>86</v>
      </c>
      <c r="B9" s="570"/>
      <c r="C9" s="587"/>
      <c r="D9" s="444" t="s">
        <v>87</v>
      </c>
      <c r="E9" s="502">
        <f aca="true" t="shared" si="0" ref="E9:E77">F9+S9</f>
        <v>25000</v>
      </c>
      <c r="F9" s="445">
        <f>G9+N9+O9+P9+Q9+R9</f>
        <v>25000</v>
      </c>
      <c r="G9" s="445">
        <f>H9+I9</f>
        <v>25000</v>
      </c>
      <c r="H9" s="445">
        <f aca="true" t="shared" si="1" ref="H9:R9">SUM(H10:H10)</f>
        <v>25000</v>
      </c>
      <c r="I9" s="445">
        <f>SUM(J9:M9)</f>
        <v>0</v>
      </c>
      <c r="J9" s="445">
        <f>SUM(J10)</f>
        <v>0</v>
      </c>
      <c r="K9" s="445">
        <f t="shared" si="1"/>
        <v>0</v>
      </c>
      <c r="L9" s="445">
        <f t="shared" si="1"/>
        <v>0</v>
      </c>
      <c r="M9" s="445">
        <f t="shared" si="1"/>
        <v>0</v>
      </c>
      <c r="N9" s="445">
        <f t="shared" si="1"/>
        <v>0</v>
      </c>
      <c r="O9" s="445">
        <f t="shared" si="1"/>
        <v>0</v>
      </c>
      <c r="P9" s="445">
        <f t="shared" si="1"/>
        <v>0</v>
      </c>
      <c r="Q9" s="445">
        <f t="shared" si="1"/>
        <v>0</v>
      </c>
      <c r="R9" s="445">
        <f t="shared" si="1"/>
        <v>0</v>
      </c>
      <c r="S9" s="445">
        <f>T9+V9</f>
        <v>0</v>
      </c>
      <c r="T9" s="445">
        <v>0</v>
      </c>
      <c r="U9" s="445">
        <v>0</v>
      </c>
      <c r="V9" s="445">
        <v>0</v>
      </c>
    </row>
    <row r="10" spans="1:22" s="449" customFormat="1" ht="47.25">
      <c r="A10" s="571"/>
      <c r="B10" s="571" t="s">
        <v>88</v>
      </c>
      <c r="C10" s="588"/>
      <c r="D10" s="447" t="s">
        <v>89</v>
      </c>
      <c r="E10" s="502">
        <f t="shared" si="0"/>
        <v>25000</v>
      </c>
      <c r="F10" s="445">
        <f aca="true" t="shared" si="2" ref="F10:F78">G10+N10+O10+P10+Q10+R10</f>
        <v>25000</v>
      </c>
      <c r="G10" s="445">
        <f aca="true" t="shared" si="3" ref="G10:G78">H10+I10</f>
        <v>25000</v>
      </c>
      <c r="H10" s="448">
        <f>SUM(H11:H12)</f>
        <v>25000</v>
      </c>
      <c r="I10" s="445">
        <f aca="true" t="shared" si="4" ref="I10:I78">SUM(J10:M10)</f>
        <v>0</v>
      </c>
      <c r="J10" s="448">
        <f>SUM(J11:J12)</f>
        <v>0</v>
      </c>
      <c r="K10" s="448">
        <f aca="true" t="shared" si="5" ref="K10:R10">SUM(K11:K12)</f>
        <v>0</v>
      </c>
      <c r="L10" s="448">
        <f t="shared" si="5"/>
        <v>0</v>
      </c>
      <c r="M10" s="448">
        <f t="shared" si="5"/>
        <v>0</v>
      </c>
      <c r="N10" s="448">
        <f t="shared" si="5"/>
        <v>0</v>
      </c>
      <c r="O10" s="448">
        <f t="shared" si="5"/>
        <v>0</v>
      </c>
      <c r="P10" s="448">
        <f>SUM(P11:P12)</f>
        <v>0</v>
      </c>
      <c r="Q10" s="448">
        <f t="shared" si="5"/>
        <v>0</v>
      </c>
      <c r="R10" s="448">
        <f t="shared" si="5"/>
        <v>0</v>
      </c>
      <c r="S10" s="445">
        <f aca="true" t="shared" si="6" ref="S10:S78">T10+V10</f>
        <v>0</v>
      </c>
      <c r="T10" s="448">
        <f>SUM(T11:T12)</f>
        <v>0</v>
      </c>
      <c r="U10" s="448">
        <f>SUM(U11:U12)</f>
        <v>0</v>
      </c>
      <c r="V10" s="448">
        <f>SUM(V11:V12)</f>
        <v>0</v>
      </c>
    </row>
    <row r="11" spans="1:22" s="441" customFormat="1" ht="30">
      <c r="A11" s="572"/>
      <c r="B11" s="572"/>
      <c r="C11" s="589">
        <v>4300</v>
      </c>
      <c r="D11" s="450" t="s">
        <v>90</v>
      </c>
      <c r="E11" s="502">
        <f t="shared" si="0"/>
        <v>25000</v>
      </c>
      <c r="F11" s="445">
        <f t="shared" si="2"/>
        <v>25000</v>
      </c>
      <c r="G11" s="445">
        <f t="shared" si="3"/>
        <v>25000</v>
      </c>
      <c r="H11" s="451">
        <v>25000</v>
      </c>
      <c r="I11" s="445">
        <f t="shared" si="4"/>
        <v>0</v>
      </c>
      <c r="J11" s="451"/>
      <c r="K11" s="451"/>
      <c r="L11" s="451"/>
      <c r="M11" s="451"/>
      <c r="N11" s="451"/>
      <c r="O11" s="451"/>
      <c r="P11" s="451"/>
      <c r="Q11" s="451"/>
      <c r="R11" s="451"/>
      <c r="S11" s="445">
        <f t="shared" si="6"/>
        <v>0</v>
      </c>
      <c r="T11" s="451"/>
      <c r="U11" s="451"/>
      <c r="V11" s="451"/>
    </row>
    <row r="12" spans="1:22" s="441" customFormat="1" ht="45" customHeight="1">
      <c r="A12" s="572"/>
      <c r="B12" s="572"/>
      <c r="C12" s="589">
        <v>4390</v>
      </c>
      <c r="D12" s="450" t="s">
        <v>380</v>
      </c>
      <c r="E12" s="502">
        <f t="shared" si="0"/>
        <v>0</v>
      </c>
      <c r="F12" s="445">
        <f t="shared" si="2"/>
        <v>0</v>
      </c>
      <c r="G12" s="445">
        <f t="shared" si="3"/>
        <v>0</v>
      </c>
      <c r="H12" s="451"/>
      <c r="I12" s="445">
        <f t="shared" si="4"/>
        <v>0</v>
      </c>
      <c r="J12" s="451"/>
      <c r="K12" s="451"/>
      <c r="L12" s="451"/>
      <c r="M12" s="451"/>
      <c r="N12" s="451"/>
      <c r="O12" s="451"/>
      <c r="P12" s="451"/>
      <c r="Q12" s="451"/>
      <c r="R12" s="451"/>
      <c r="S12" s="445">
        <f t="shared" si="6"/>
        <v>0</v>
      </c>
      <c r="T12" s="451"/>
      <c r="U12" s="451"/>
      <c r="V12" s="451"/>
    </row>
    <row r="13" spans="1:22" s="446" customFormat="1" ht="15.75">
      <c r="A13" s="570" t="s">
        <v>91</v>
      </c>
      <c r="B13" s="570"/>
      <c r="C13" s="587"/>
      <c r="D13" s="444" t="s">
        <v>92</v>
      </c>
      <c r="E13" s="502">
        <f t="shared" si="0"/>
        <v>334680</v>
      </c>
      <c r="F13" s="445">
        <f t="shared" si="2"/>
        <v>334680</v>
      </c>
      <c r="G13" s="445">
        <f t="shared" si="3"/>
        <v>0</v>
      </c>
      <c r="H13" s="445">
        <f>H14+H16</f>
        <v>0</v>
      </c>
      <c r="I13" s="445">
        <f t="shared" si="4"/>
        <v>0</v>
      </c>
      <c r="J13" s="445">
        <f>SUM(J14+J16)</f>
        <v>0</v>
      </c>
      <c r="K13" s="445">
        <f aca="true" t="shared" si="7" ref="K13:R13">K14+K16</f>
        <v>0</v>
      </c>
      <c r="L13" s="445">
        <f t="shared" si="7"/>
        <v>0</v>
      </c>
      <c r="M13" s="445">
        <f t="shared" si="7"/>
        <v>0</v>
      </c>
      <c r="N13" s="445">
        <f t="shared" si="7"/>
        <v>285000</v>
      </c>
      <c r="O13" s="445">
        <f t="shared" si="7"/>
        <v>49680</v>
      </c>
      <c r="P13" s="445">
        <f>P14+P16</f>
        <v>0</v>
      </c>
      <c r="Q13" s="445">
        <f t="shared" si="7"/>
        <v>0</v>
      </c>
      <c r="R13" s="445">
        <f t="shared" si="7"/>
        <v>0</v>
      </c>
      <c r="S13" s="445">
        <f t="shared" si="6"/>
        <v>0</v>
      </c>
      <c r="T13" s="445">
        <f>T14+T16</f>
        <v>0</v>
      </c>
      <c r="U13" s="445">
        <f>U14+U16</f>
        <v>0</v>
      </c>
      <c r="V13" s="445">
        <f>V14+V16</f>
        <v>0</v>
      </c>
    </row>
    <row r="14" spans="1:22" s="449" customFormat="1" ht="15.75">
      <c r="A14" s="571"/>
      <c r="B14" s="571" t="s">
        <v>93</v>
      </c>
      <c r="C14" s="588"/>
      <c r="D14" s="447" t="s">
        <v>94</v>
      </c>
      <c r="E14" s="502">
        <f t="shared" si="0"/>
        <v>285000</v>
      </c>
      <c r="F14" s="445">
        <f t="shared" si="2"/>
        <v>285000</v>
      </c>
      <c r="G14" s="445">
        <f t="shared" si="3"/>
        <v>0</v>
      </c>
      <c r="H14" s="448">
        <f aca="true" t="shared" si="8" ref="H14:V14">SUM(H15)</f>
        <v>0</v>
      </c>
      <c r="I14" s="445">
        <f t="shared" si="4"/>
        <v>0</v>
      </c>
      <c r="J14" s="448">
        <f t="shared" si="8"/>
        <v>0</v>
      </c>
      <c r="K14" s="448">
        <f t="shared" si="8"/>
        <v>0</v>
      </c>
      <c r="L14" s="448">
        <f t="shared" si="8"/>
        <v>0</v>
      </c>
      <c r="M14" s="448">
        <f t="shared" si="8"/>
        <v>0</v>
      </c>
      <c r="N14" s="448">
        <f t="shared" si="8"/>
        <v>285000</v>
      </c>
      <c r="O14" s="448">
        <f t="shared" si="8"/>
        <v>0</v>
      </c>
      <c r="P14" s="448">
        <f t="shared" si="8"/>
        <v>0</v>
      </c>
      <c r="Q14" s="448">
        <f t="shared" si="8"/>
        <v>0</v>
      </c>
      <c r="R14" s="448">
        <f t="shared" si="8"/>
        <v>0</v>
      </c>
      <c r="S14" s="445">
        <f t="shared" si="6"/>
        <v>0</v>
      </c>
      <c r="T14" s="448">
        <f t="shared" si="8"/>
        <v>0</v>
      </c>
      <c r="U14" s="448">
        <f t="shared" si="8"/>
        <v>0</v>
      </c>
      <c r="V14" s="448">
        <f t="shared" si="8"/>
        <v>0</v>
      </c>
    </row>
    <row r="15" spans="1:22" s="441" customFormat="1" ht="30">
      <c r="A15" s="573"/>
      <c r="B15" s="573"/>
      <c r="C15" s="590">
        <v>3030</v>
      </c>
      <c r="D15" s="452" t="s">
        <v>95</v>
      </c>
      <c r="E15" s="502">
        <f t="shared" si="0"/>
        <v>285000</v>
      </c>
      <c r="F15" s="445">
        <f t="shared" si="2"/>
        <v>285000</v>
      </c>
      <c r="G15" s="445">
        <f t="shared" si="3"/>
        <v>0</v>
      </c>
      <c r="H15" s="451"/>
      <c r="I15" s="445">
        <f t="shared" si="4"/>
        <v>0</v>
      </c>
      <c r="J15" s="451"/>
      <c r="K15" s="451"/>
      <c r="L15" s="451"/>
      <c r="M15" s="451"/>
      <c r="N15" s="451">
        <v>285000</v>
      </c>
      <c r="O15" s="451"/>
      <c r="P15" s="451"/>
      <c r="Q15" s="451"/>
      <c r="R15" s="451"/>
      <c r="S15" s="445">
        <f t="shared" si="6"/>
        <v>0</v>
      </c>
      <c r="T15" s="451"/>
      <c r="U15" s="451"/>
      <c r="V15" s="451"/>
    </row>
    <row r="16" spans="1:22" s="449" customFormat="1" ht="31.5">
      <c r="A16" s="571"/>
      <c r="B16" s="571" t="s">
        <v>96</v>
      </c>
      <c r="C16" s="588"/>
      <c r="D16" s="262" t="s">
        <v>97</v>
      </c>
      <c r="E16" s="502">
        <f t="shared" si="0"/>
        <v>49680</v>
      </c>
      <c r="F16" s="445">
        <f t="shared" si="2"/>
        <v>49680</v>
      </c>
      <c r="G16" s="445">
        <f t="shared" si="3"/>
        <v>0</v>
      </c>
      <c r="H16" s="448">
        <f aca="true" t="shared" si="9" ref="H16:V16">SUM(H17)</f>
        <v>0</v>
      </c>
      <c r="I16" s="445">
        <f t="shared" si="4"/>
        <v>0</v>
      </c>
      <c r="J16" s="448"/>
      <c r="K16" s="448">
        <f t="shared" si="9"/>
        <v>0</v>
      </c>
      <c r="L16" s="448">
        <f t="shared" si="9"/>
        <v>0</v>
      </c>
      <c r="M16" s="448">
        <f t="shared" si="9"/>
        <v>0</v>
      </c>
      <c r="N16" s="448">
        <f t="shared" si="9"/>
        <v>0</v>
      </c>
      <c r="O16" s="448">
        <f t="shared" si="9"/>
        <v>49680</v>
      </c>
      <c r="P16" s="448">
        <f t="shared" si="9"/>
        <v>0</v>
      </c>
      <c r="Q16" s="448">
        <f t="shared" si="9"/>
        <v>0</v>
      </c>
      <c r="R16" s="448">
        <f t="shared" si="9"/>
        <v>0</v>
      </c>
      <c r="S16" s="445">
        <f t="shared" si="6"/>
        <v>0</v>
      </c>
      <c r="T16" s="448">
        <f t="shared" si="9"/>
        <v>0</v>
      </c>
      <c r="U16" s="448">
        <f t="shared" si="9"/>
        <v>0</v>
      </c>
      <c r="V16" s="448">
        <f t="shared" si="9"/>
        <v>0</v>
      </c>
    </row>
    <row r="17" spans="1:22" s="441" customFormat="1" ht="96" customHeight="1">
      <c r="A17" s="572"/>
      <c r="B17" s="572"/>
      <c r="C17" s="589">
        <v>2830</v>
      </c>
      <c r="D17" s="450" t="s">
        <v>98</v>
      </c>
      <c r="E17" s="502">
        <f t="shared" si="0"/>
        <v>49680</v>
      </c>
      <c r="F17" s="445">
        <f t="shared" si="2"/>
        <v>49680</v>
      </c>
      <c r="G17" s="445">
        <f t="shared" si="3"/>
        <v>0</v>
      </c>
      <c r="H17" s="451"/>
      <c r="I17" s="445">
        <f t="shared" si="4"/>
        <v>0</v>
      </c>
      <c r="J17" s="451"/>
      <c r="K17" s="451"/>
      <c r="L17" s="451"/>
      <c r="M17" s="451"/>
      <c r="N17" s="451"/>
      <c r="O17" s="451">
        <v>49680</v>
      </c>
      <c r="P17" s="451"/>
      <c r="Q17" s="451"/>
      <c r="R17" s="451"/>
      <c r="S17" s="445">
        <f t="shared" si="6"/>
        <v>0</v>
      </c>
      <c r="T17" s="451"/>
      <c r="U17" s="451"/>
      <c r="V17" s="451"/>
    </row>
    <row r="18" spans="1:22" s="446" customFormat="1" ht="31.5">
      <c r="A18" s="570">
        <v>600</v>
      </c>
      <c r="B18" s="570"/>
      <c r="C18" s="587"/>
      <c r="D18" s="311" t="s">
        <v>99</v>
      </c>
      <c r="E18" s="502">
        <f t="shared" si="0"/>
        <v>10654436</v>
      </c>
      <c r="F18" s="445">
        <f t="shared" si="2"/>
        <v>3647622</v>
      </c>
      <c r="G18" s="445">
        <f t="shared" si="3"/>
        <v>3628544</v>
      </c>
      <c r="H18" s="445">
        <f aca="true" t="shared" si="10" ref="H18:V18">SUM(H19)</f>
        <v>2703736</v>
      </c>
      <c r="I18" s="445">
        <f t="shared" si="4"/>
        <v>924808</v>
      </c>
      <c r="J18" s="445">
        <f>SUM(J19)</f>
        <v>724780</v>
      </c>
      <c r="K18" s="445">
        <f t="shared" si="10"/>
        <v>53200</v>
      </c>
      <c r="L18" s="445">
        <f t="shared" si="10"/>
        <v>141828</v>
      </c>
      <c r="M18" s="445">
        <f t="shared" si="10"/>
        <v>5000</v>
      </c>
      <c r="N18" s="445">
        <f t="shared" si="10"/>
        <v>19078</v>
      </c>
      <c r="O18" s="445">
        <f t="shared" si="10"/>
        <v>0</v>
      </c>
      <c r="P18" s="445">
        <f t="shared" si="10"/>
        <v>0</v>
      </c>
      <c r="Q18" s="445">
        <f t="shared" si="10"/>
        <v>0</v>
      </c>
      <c r="R18" s="445">
        <f t="shared" si="10"/>
        <v>0</v>
      </c>
      <c r="S18" s="445">
        <f t="shared" si="6"/>
        <v>7006814</v>
      </c>
      <c r="T18" s="445">
        <f t="shared" si="10"/>
        <v>7006814</v>
      </c>
      <c r="U18" s="445">
        <f t="shared" si="10"/>
        <v>1107497</v>
      </c>
      <c r="V18" s="445">
        <f t="shared" si="10"/>
        <v>0</v>
      </c>
    </row>
    <row r="19" spans="1:22" s="449" customFormat="1" ht="31.5">
      <c r="A19" s="571"/>
      <c r="B19" s="571">
        <v>60014</v>
      </c>
      <c r="C19" s="588"/>
      <c r="D19" s="262" t="s">
        <v>100</v>
      </c>
      <c r="E19" s="502">
        <f t="shared" si="0"/>
        <v>10654436</v>
      </c>
      <c r="F19" s="445">
        <f t="shared" si="2"/>
        <v>3647622</v>
      </c>
      <c r="G19" s="445">
        <f t="shared" si="3"/>
        <v>3628544</v>
      </c>
      <c r="H19" s="448">
        <f>SUM(H20:H46)</f>
        <v>2703736</v>
      </c>
      <c r="I19" s="445">
        <f t="shared" si="4"/>
        <v>924808</v>
      </c>
      <c r="J19" s="448">
        <f>SUM(J20:J46)</f>
        <v>724780</v>
      </c>
      <c r="K19" s="448">
        <f aca="true" t="shared" si="11" ref="K19:R19">SUM(K20:K46)</f>
        <v>53200</v>
      </c>
      <c r="L19" s="448">
        <f t="shared" si="11"/>
        <v>141828</v>
      </c>
      <c r="M19" s="448">
        <f>SUM(M20:M46)</f>
        <v>5000</v>
      </c>
      <c r="N19" s="448">
        <f>SUM(N20:N46)</f>
        <v>19078</v>
      </c>
      <c r="O19" s="448">
        <f t="shared" si="11"/>
        <v>0</v>
      </c>
      <c r="P19" s="448">
        <f>SUM(P20:P46)</f>
        <v>0</v>
      </c>
      <c r="Q19" s="448">
        <f t="shared" si="11"/>
        <v>0</v>
      </c>
      <c r="R19" s="448">
        <f t="shared" si="11"/>
        <v>0</v>
      </c>
      <c r="S19" s="445">
        <f t="shared" si="6"/>
        <v>7006814</v>
      </c>
      <c r="T19" s="448">
        <f>SUM(T20:T46)</f>
        <v>7006814</v>
      </c>
      <c r="U19" s="448">
        <f>SUM(U20:U46)</f>
        <v>1107497</v>
      </c>
      <c r="V19" s="448">
        <f>SUM(V20:V46)</f>
        <v>0</v>
      </c>
    </row>
    <row r="20" spans="1:22" s="441" customFormat="1" ht="30">
      <c r="A20" s="570"/>
      <c r="B20" s="570"/>
      <c r="C20" s="589">
        <v>3020</v>
      </c>
      <c r="D20" s="450" t="s">
        <v>101</v>
      </c>
      <c r="E20" s="502">
        <f t="shared" si="0"/>
        <v>19078</v>
      </c>
      <c r="F20" s="445">
        <f t="shared" si="2"/>
        <v>19078</v>
      </c>
      <c r="G20" s="445">
        <f t="shared" si="3"/>
        <v>0</v>
      </c>
      <c r="H20" s="451"/>
      <c r="I20" s="445">
        <f t="shared" si="4"/>
        <v>0</v>
      </c>
      <c r="J20" s="451"/>
      <c r="K20" s="451"/>
      <c r="L20" s="451"/>
      <c r="M20" s="451"/>
      <c r="N20" s="451">
        <v>19078</v>
      </c>
      <c r="O20" s="451"/>
      <c r="P20" s="451"/>
      <c r="Q20" s="451"/>
      <c r="R20" s="451"/>
      <c r="S20" s="445">
        <f t="shared" si="6"/>
        <v>0</v>
      </c>
      <c r="T20" s="451"/>
      <c r="U20" s="451"/>
      <c r="V20" s="451"/>
    </row>
    <row r="21" spans="1:22" s="441" customFormat="1" ht="30">
      <c r="A21" s="570"/>
      <c r="B21" s="570"/>
      <c r="C21" s="408">
        <v>4010</v>
      </c>
      <c r="D21" s="450" t="s">
        <v>102</v>
      </c>
      <c r="E21" s="502">
        <f t="shared" si="0"/>
        <v>724780</v>
      </c>
      <c r="F21" s="445">
        <f t="shared" si="2"/>
        <v>724780</v>
      </c>
      <c r="G21" s="445">
        <f t="shared" si="3"/>
        <v>724780</v>
      </c>
      <c r="H21" s="451"/>
      <c r="I21" s="445">
        <f t="shared" si="4"/>
        <v>724780</v>
      </c>
      <c r="J21" s="451">
        <v>724780</v>
      </c>
      <c r="K21" s="451"/>
      <c r="L21" s="451"/>
      <c r="M21" s="451"/>
      <c r="N21" s="451"/>
      <c r="O21" s="451"/>
      <c r="P21" s="451"/>
      <c r="Q21" s="451"/>
      <c r="R21" s="451"/>
      <c r="S21" s="445">
        <f t="shared" si="6"/>
        <v>0</v>
      </c>
      <c r="T21" s="451"/>
      <c r="U21" s="451"/>
      <c r="V21" s="451"/>
    </row>
    <row r="22" spans="1:22" s="441" customFormat="1" ht="30">
      <c r="A22" s="570"/>
      <c r="B22" s="570"/>
      <c r="C22" s="589">
        <v>4040</v>
      </c>
      <c r="D22" s="450" t="s">
        <v>103</v>
      </c>
      <c r="E22" s="502">
        <f t="shared" si="0"/>
        <v>53200</v>
      </c>
      <c r="F22" s="445">
        <f t="shared" si="2"/>
        <v>53200</v>
      </c>
      <c r="G22" s="445">
        <f t="shared" si="3"/>
        <v>53200</v>
      </c>
      <c r="H22" s="451"/>
      <c r="I22" s="445">
        <f t="shared" si="4"/>
        <v>53200</v>
      </c>
      <c r="J22" s="451"/>
      <c r="K22" s="451">
        <v>53200</v>
      </c>
      <c r="L22" s="451"/>
      <c r="M22" s="451"/>
      <c r="N22" s="451"/>
      <c r="O22" s="451"/>
      <c r="P22" s="451"/>
      <c r="Q22" s="451"/>
      <c r="R22" s="451"/>
      <c r="S22" s="445">
        <f t="shared" si="6"/>
        <v>0</v>
      </c>
      <c r="T22" s="451"/>
      <c r="U22" s="451"/>
      <c r="V22" s="451"/>
    </row>
    <row r="23" spans="1:22" s="441" customFormat="1" ht="45">
      <c r="A23" s="570"/>
      <c r="B23" s="570"/>
      <c r="C23" s="589">
        <v>4110</v>
      </c>
      <c r="D23" s="450" t="s">
        <v>104</v>
      </c>
      <c r="E23" s="502">
        <f t="shared" si="0"/>
        <v>122840</v>
      </c>
      <c r="F23" s="445">
        <f t="shared" si="2"/>
        <v>122840</v>
      </c>
      <c r="G23" s="445">
        <f t="shared" si="3"/>
        <v>122840</v>
      </c>
      <c r="H23" s="451"/>
      <c r="I23" s="445">
        <f t="shared" si="4"/>
        <v>122840</v>
      </c>
      <c r="J23" s="451"/>
      <c r="K23" s="451"/>
      <c r="L23" s="451">
        <v>122840</v>
      </c>
      <c r="M23" s="451"/>
      <c r="N23" s="451"/>
      <c r="O23" s="451"/>
      <c r="P23" s="451"/>
      <c r="Q23" s="451"/>
      <c r="R23" s="451"/>
      <c r="S23" s="445">
        <f t="shared" si="6"/>
        <v>0</v>
      </c>
      <c r="T23" s="451"/>
      <c r="U23" s="451"/>
      <c r="V23" s="451"/>
    </row>
    <row r="24" spans="1:22" s="441" customFormat="1" ht="30">
      <c r="A24" s="570"/>
      <c r="B24" s="570"/>
      <c r="C24" s="589">
        <v>4120</v>
      </c>
      <c r="D24" s="450" t="s">
        <v>105</v>
      </c>
      <c r="E24" s="502">
        <f t="shared" si="0"/>
        <v>18988</v>
      </c>
      <c r="F24" s="445">
        <f t="shared" si="2"/>
        <v>18988</v>
      </c>
      <c r="G24" s="445">
        <f t="shared" si="3"/>
        <v>18988</v>
      </c>
      <c r="H24" s="451"/>
      <c r="I24" s="445">
        <f t="shared" si="4"/>
        <v>18988</v>
      </c>
      <c r="J24" s="451"/>
      <c r="K24" s="451"/>
      <c r="L24" s="451">
        <v>18988</v>
      </c>
      <c r="M24" s="451"/>
      <c r="N24" s="451"/>
      <c r="O24" s="451"/>
      <c r="P24" s="451"/>
      <c r="Q24" s="451"/>
      <c r="R24" s="451"/>
      <c r="S24" s="445">
        <f t="shared" si="6"/>
        <v>0</v>
      </c>
      <c r="T24" s="451"/>
      <c r="U24" s="451"/>
      <c r="V24" s="451"/>
    </row>
    <row r="25" spans="1:22" s="441" customFormat="1" ht="30.75" customHeight="1">
      <c r="A25" s="570"/>
      <c r="B25" s="570"/>
      <c r="C25" s="589">
        <v>4170</v>
      </c>
      <c r="D25" s="450" t="s">
        <v>106</v>
      </c>
      <c r="E25" s="502">
        <f t="shared" si="0"/>
        <v>5000</v>
      </c>
      <c r="F25" s="445">
        <f t="shared" si="2"/>
        <v>5000</v>
      </c>
      <c r="G25" s="445">
        <f t="shared" si="3"/>
        <v>5000</v>
      </c>
      <c r="H25" s="451"/>
      <c r="I25" s="445">
        <f t="shared" si="4"/>
        <v>5000</v>
      </c>
      <c r="J25" s="451"/>
      <c r="K25" s="451"/>
      <c r="L25" s="451"/>
      <c r="M25" s="451">
        <v>5000</v>
      </c>
      <c r="N25" s="451"/>
      <c r="O25" s="451"/>
      <c r="P25" s="451"/>
      <c r="Q25" s="451"/>
      <c r="R25" s="451"/>
      <c r="S25" s="445">
        <f t="shared" si="6"/>
        <v>0</v>
      </c>
      <c r="T25" s="451"/>
      <c r="U25" s="451"/>
      <c r="V25" s="451"/>
    </row>
    <row r="26" spans="1:22" s="441" customFormat="1" ht="30">
      <c r="A26" s="570"/>
      <c r="B26" s="570"/>
      <c r="C26" s="589">
        <v>4210</v>
      </c>
      <c r="D26" s="450" t="s">
        <v>107</v>
      </c>
      <c r="E26" s="502">
        <f t="shared" si="0"/>
        <v>189370</v>
      </c>
      <c r="F26" s="445">
        <f t="shared" si="2"/>
        <v>189370</v>
      </c>
      <c r="G26" s="445">
        <f t="shared" si="3"/>
        <v>189370</v>
      </c>
      <c r="H26" s="451">
        <f>186000+3370</f>
        <v>189370</v>
      </c>
      <c r="I26" s="445">
        <f t="shared" si="4"/>
        <v>0</v>
      </c>
      <c r="J26" s="451"/>
      <c r="K26" s="451"/>
      <c r="L26" s="451"/>
      <c r="M26" s="451"/>
      <c r="N26" s="451"/>
      <c r="O26" s="451"/>
      <c r="P26" s="451"/>
      <c r="Q26" s="451"/>
      <c r="R26" s="451"/>
      <c r="S26" s="445">
        <f t="shared" si="6"/>
        <v>0</v>
      </c>
      <c r="T26" s="451"/>
      <c r="U26" s="451"/>
      <c r="V26" s="451"/>
    </row>
    <row r="27" spans="1:22" s="441" customFormat="1" ht="15.75">
      <c r="A27" s="570"/>
      <c r="B27" s="570"/>
      <c r="C27" s="589">
        <v>4260</v>
      </c>
      <c r="D27" s="450" t="s">
        <v>108</v>
      </c>
      <c r="E27" s="502">
        <f t="shared" si="0"/>
        <v>28175</v>
      </c>
      <c r="F27" s="445">
        <f t="shared" si="2"/>
        <v>28175</v>
      </c>
      <c r="G27" s="445">
        <f t="shared" si="3"/>
        <v>28175</v>
      </c>
      <c r="H27" s="451">
        <v>28175</v>
      </c>
      <c r="I27" s="445">
        <f t="shared" si="4"/>
        <v>0</v>
      </c>
      <c r="J27" s="451"/>
      <c r="K27" s="451"/>
      <c r="L27" s="451"/>
      <c r="M27" s="451"/>
      <c r="N27" s="451"/>
      <c r="O27" s="451"/>
      <c r="P27" s="451"/>
      <c r="Q27" s="451"/>
      <c r="R27" s="451"/>
      <c r="S27" s="445">
        <f t="shared" si="6"/>
        <v>0</v>
      </c>
      <c r="T27" s="451"/>
      <c r="U27" s="451"/>
      <c r="V27" s="451"/>
    </row>
    <row r="28" spans="1:22" s="441" customFormat="1" ht="30">
      <c r="A28" s="570"/>
      <c r="B28" s="570"/>
      <c r="C28" s="589">
        <v>4270</v>
      </c>
      <c r="D28" s="450" t="s">
        <v>109</v>
      </c>
      <c r="E28" s="502">
        <f t="shared" si="0"/>
        <v>310200</v>
      </c>
      <c r="F28" s="445">
        <f t="shared" si="2"/>
        <v>310200</v>
      </c>
      <c r="G28" s="445">
        <f t="shared" si="3"/>
        <v>310200</v>
      </c>
      <c r="H28" s="451">
        <v>310200</v>
      </c>
      <c r="I28" s="445">
        <f t="shared" si="4"/>
        <v>0</v>
      </c>
      <c r="J28" s="451"/>
      <c r="K28" s="451"/>
      <c r="L28" s="451"/>
      <c r="M28" s="451"/>
      <c r="N28" s="451"/>
      <c r="O28" s="451"/>
      <c r="P28" s="451"/>
      <c r="Q28" s="451"/>
      <c r="R28" s="451"/>
      <c r="S28" s="445">
        <f t="shared" si="6"/>
        <v>0</v>
      </c>
      <c r="T28" s="451"/>
      <c r="U28" s="451"/>
      <c r="V28" s="451"/>
    </row>
    <row r="29" spans="1:22" s="441" customFormat="1" ht="15.75">
      <c r="A29" s="570"/>
      <c r="B29" s="570"/>
      <c r="C29" s="589">
        <v>4280</v>
      </c>
      <c r="D29" s="450" t="s">
        <v>110</v>
      </c>
      <c r="E29" s="502">
        <f t="shared" si="0"/>
        <v>900</v>
      </c>
      <c r="F29" s="445">
        <f t="shared" si="2"/>
        <v>900</v>
      </c>
      <c r="G29" s="445">
        <f t="shared" si="3"/>
        <v>900</v>
      </c>
      <c r="H29" s="451">
        <v>900</v>
      </c>
      <c r="I29" s="445">
        <f t="shared" si="4"/>
        <v>0</v>
      </c>
      <c r="J29" s="451"/>
      <c r="K29" s="451"/>
      <c r="L29" s="451"/>
      <c r="M29" s="451"/>
      <c r="N29" s="451"/>
      <c r="O29" s="451"/>
      <c r="P29" s="451"/>
      <c r="Q29" s="451"/>
      <c r="R29" s="451"/>
      <c r="S29" s="445">
        <f t="shared" si="6"/>
        <v>0</v>
      </c>
      <c r="T29" s="451"/>
      <c r="U29" s="451"/>
      <c r="V29" s="451"/>
    </row>
    <row r="30" spans="1:22" s="441" customFormat="1" ht="30">
      <c r="A30" s="570"/>
      <c r="B30" s="570"/>
      <c r="C30" s="589">
        <v>4300</v>
      </c>
      <c r="D30" s="450" t="s">
        <v>90</v>
      </c>
      <c r="E30" s="502">
        <f t="shared" si="0"/>
        <v>2091870</v>
      </c>
      <c r="F30" s="445">
        <f t="shared" si="2"/>
        <v>2091870</v>
      </c>
      <c r="G30" s="445">
        <f t="shared" si="3"/>
        <v>2091870</v>
      </c>
      <c r="H30" s="451">
        <v>2091870</v>
      </c>
      <c r="I30" s="445">
        <f t="shared" si="4"/>
        <v>0</v>
      </c>
      <c r="J30" s="451"/>
      <c r="K30" s="451"/>
      <c r="L30" s="451"/>
      <c r="M30" s="451"/>
      <c r="N30" s="451"/>
      <c r="O30" s="451"/>
      <c r="P30" s="451"/>
      <c r="Q30" s="451"/>
      <c r="R30" s="451"/>
      <c r="S30" s="445">
        <f t="shared" si="6"/>
        <v>0</v>
      </c>
      <c r="T30" s="451"/>
      <c r="U30" s="451"/>
      <c r="V30" s="451"/>
    </row>
    <row r="31" spans="1:22" s="441" customFormat="1" ht="30">
      <c r="A31" s="570"/>
      <c r="B31" s="570"/>
      <c r="C31" s="589">
        <v>4350</v>
      </c>
      <c r="D31" s="450" t="s">
        <v>111</v>
      </c>
      <c r="E31" s="502">
        <f t="shared" si="0"/>
        <v>1500</v>
      </c>
      <c r="F31" s="445">
        <f t="shared" si="2"/>
        <v>1500</v>
      </c>
      <c r="G31" s="445">
        <f t="shared" si="3"/>
        <v>1500</v>
      </c>
      <c r="H31" s="451">
        <v>1500</v>
      </c>
      <c r="I31" s="445">
        <f t="shared" si="4"/>
        <v>0</v>
      </c>
      <c r="J31" s="451"/>
      <c r="K31" s="451"/>
      <c r="L31" s="451"/>
      <c r="M31" s="451"/>
      <c r="N31" s="451"/>
      <c r="O31" s="451"/>
      <c r="P31" s="451"/>
      <c r="Q31" s="451"/>
      <c r="R31" s="451"/>
      <c r="S31" s="445">
        <f t="shared" si="6"/>
        <v>0</v>
      </c>
      <c r="T31" s="451"/>
      <c r="U31" s="451"/>
      <c r="V31" s="451"/>
    </row>
    <row r="32" spans="1:22" s="441" customFormat="1" ht="34.5" customHeight="1">
      <c r="A32" s="570"/>
      <c r="B32" s="570"/>
      <c r="C32" s="589">
        <v>4360</v>
      </c>
      <c r="D32" s="450" t="s">
        <v>389</v>
      </c>
      <c r="E32" s="502">
        <f t="shared" si="0"/>
        <v>6600</v>
      </c>
      <c r="F32" s="445">
        <f t="shared" si="2"/>
        <v>6600</v>
      </c>
      <c r="G32" s="445">
        <f t="shared" si="3"/>
        <v>6600</v>
      </c>
      <c r="H32" s="451">
        <v>6600</v>
      </c>
      <c r="I32" s="445">
        <f t="shared" si="4"/>
        <v>0</v>
      </c>
      <c r="J32" s="451"/>
      <c r="K32" s="451"/>
      <c r="L32" s="451"/>
      <c r="M32" s="451"/>
      <c r="N32" s="451"/>
      <c r="O32" s="451"/>
      <c r="P32" s="451"/>
      <c r="Q32" s="451"/>
      <c r="R32" s="451"/>
      <c r="S32" s="445">
        <f t="shared" si="6"/>
        <v>0</v>
      </c>
      <c r="T32" s="451"/>
      <c r="U32" s="451"/>
      <c r="V32" s="451"/>
    </row>
    <row r="33" spans="1:22" s="441" customFormat="1" ht="34.5" customHeight="1">
      <c r="A33" s="570"/>
      <c r="B33" s="570"/>
      <c r="C33" s="589">
        <v>4370</v>
      </c>
      <c r="D33" s="450" t="s">
        <v>390</v>
      </c>
      <c r="E33" s="502">
        <f t="shared" si="0"/>
        <v>6300</v>
      </c>
      <c r="F33" s="445">
        <f t="shared" si="2"/>
        <v>6300</v>
      </c>
      <c r="G33" s="445">
        <f t="shared" si="3"/>
        <v>6300</v>
      </c>
      <c r="H33" s="451">
        <v>6300</v>
      </c>
      <c r="I33" s="445">
        <f t="shared" si="4"/>
        <v>0</v>
      </c>
      <c r="J33" s="451"/>
      <c r="K33" s="451"/>
      <c r="L33" s="451"/>
      <c r="M33" s="451"/>
      <c r="N33" s="451"/>
      <c r="O33" s="451"/>
      <c r="P33" s="451"/>
      <c r="Q33" s="451"/>
      <c r="R33" s="451"/>
      <c r="S33" s="445">
        <f t="shared" si="6"/>
        <v>0</v>
      </c>
      <c r="T33" s="451"/>
      <c r="U33" s="451"/>
      <c r="V33" s="451"/>
    </row>
    <row r="34" spans="1:22" s="441" customFormat="1" ht="57" customHeight="1">
      <c r="A34" s="570"/>
      <c r="B34" s="570"/>
      <c r="C34" s="589">
        <v>4390</v>
      </c>
      <c r="D34" s="450" t="s">
        <v>380</v>
      </c>
      <c r="E34" s="502">
        <f t="shared" si="0"/>
        <v>6996</v>
      </c>
      <c r="F34" s="445">
        <f t="shared" si="2"/>
        <v>6996</v>
      </c>
      <c r="G34" s="445">
        <f t="shared" si="3"/>
        <v>6996</v>
      </c>
      <c r="H34" s="451">
        <v>6996</v>
      </c>
      <c r="I34" s="445">
        <f t="shared" si="4"/>
        <v>0</v>
      </c>
      <c r="J34" s="451"/>
      <c r="K34" s="451"/>
      <c r="L34" s="451"/>
      <c r="M34" s="451"/>
      <c r="N34" s="451"/>
      <c r="O34" s="451"/>
      <c r="P34" s="451"/>
      <c r="Q34" s="451"/>
      <c r="R34" s="451"/>
      <c r="S34" s="445">
        <f t="shared" si="6"/>
        <v>0</v>
      </c>
      <c r="T34" s="451"/>
      <c r="U34" s="451"/>
      <c r="V34" s="451"/>
    </row>
    <row r="35" spans="1:22" s="441" customFormat="1" ht="30">
      <c r="A35" s="570"/>
      <c r="B35" s="570"/>
      <c r="C35" s="589">
        <v>4410</v>
      </c>
      <c r="D35" s="450" t="s">
        <v>115</v>
      </c>
      <c r="E35" s="502">
        <f t="shared" si="0"/>
        <v>3700</v>
      </c>
      <c r="F35" s="445">
        <f t="shared" si="2"/>
        <v>3700</v>
      </c>
      <c r="G35" s="445">
        <f t="shared" si="3"/>
        <v>3700</v>
      </c>
      <c r="H35" s="451">
        <v>3700</v>
      </c>
      <c r="I35" s="445">
        <f t="shared" si="4"/>
        <v>0</v>
      </c>
      <c r="J35" s="451"/>
      <c r="K35" s="451"/>
      <c r="L35" s="451"/>
      <c r="M35" s="451"/>
      <c r="N35" s="451"/>
      <c r="O35" s="451"/>
      <c r="P35" s="451"/>
      <c r="Q35" s="451"/>
      <c r="R35" s="451"/>
      <c r="S35" s="445">
        <f t="shared" si="6"/>
        <v>0</v>
      </c>
      <c r="T35" s="451"/>
      <c r="U35" s="451"/>
      <c r="V35" s="451"/>
    </row>
    <row r="36" spans="1:22" s="441" customFormat="1" ht="15.75">
      <c r="A36" s="570"/>
      <c r="B36" s="570"/>
      <c r="C36" s="589">
        <v>4430</v>
      </c>
      <c r="D36" s="450" t="s">
        <v>116</v>
      </c>
      <c r="E36" s="502">
        <f t="shared" si="0"/>
        <v>18300</v>
      </c>
      <c r="F36" s="445">
        <f t="shared" si="2"/>
        <v>18300</v>
      </c>
      <c r="G36" s="445">
        <f t="shared" si="3"/>
        <v>18300</v>
      </c>
      <c r="H36" s="451">
        <v>18300</v>
      </c>
      <c r="I36" s="445">
        <f t="shared" si="4"/>
        <v>0</v>
      </c>
      <c r="J36" s="451"/>
      <c r="K36" s="451"/>
      <c r="L36" s="451"/>
      <c r="M36" s="451"/>
      <c r="N36" s="451"/>
      <c r="O36" s="451"/>
      <c r="P36" s="451"/>
      <c r="Q36" s="451"/>
      <c r="R36" s="451"/>
      <c r="S36" s="445">
        <f t="shared" si="6"/>
        <v>0</v>
      </c>
      <c r="T36" s="451"/>
      <c r="U36" s="451"/>
      <c r="V36" s="451"/>
    </row>
    <row r="37" spans="1:22" s="441" customFormat="1" ht="45">
      <c r="A37" s="570"/>
      <c r="B37" s="570"/>
      <c r="C37" s="589">
        <v>4440</v>
      </c>
      <c r="D37" s="450" t="s">
        <v>117</v>
      </c>
      <c r="E37" s="502">
        <f t="shared" si="0"/>
        <v>22890</v>
      </c>
      <c r="F37" s="445">
        <f t="shared" si="2"/>
        <v>22890</v>
      </c>
      <c r="G37" s="445">
        <f t="shared" si="3"/>
        <v>22890</v>
      </c>
      <c r="H37" s="451">
        <v>22890</v>
      </c>
      <c r="I37" s="445">
        <f t="shared" si="4"/>
        <v>0</v>
      </c>
      <c r="J37" s="451"/>
      <c r="K37" s="451"/>
      <c r="L37" s="451"/>
      <c r="M37" s="451"/>
      <c r="N37" s="451"/>
      <c r="O37" s="451"/>
      <c r="P37" s="451"/>
      <c r="Q37" s="451"/>
      <c r="R37" s="451"/>
      <c r="S37" s="445">
        <f t="shared" si="6"/>
        <v>0</v>
      </c>
      <c r="T37" s="451"/>
      <c r="U37" s="451"/>
      <c r="V37" s="451"/>
    </row>
    <row r="38" spans="1:22" s="441" customFormat="1" ht="30">
      <c r="A38" s="570"/>
      <c r="B38" s="570"/>
      <c r="C38" s="589">
        <v>4480</v>
      </c>
      <c r="D38" s="450" t="s">
        <v>118</v>
      </c>
      <c r="E38" s="502">
        <f t="shared" si="0"/>
        <v>7935</v>
      </c>
      <c r="F38" s="445">
        <f t="shared" si="2"/>
        <v>7935</v>
      </c>
      <c r="G38" s="445">
        <f t="shared" si="3"/>
        <v>7935</v>
      </c>
      <c r="H38" s="451">
        <v>7935</v>
      </c>
      <c r="I38" s="445">
        <f t="shared" si="4"/>
        <v>0</v>
      </c>
      <c r="J38" s="451"/>
      <c r="K38" s="451"/>
      <c r="L38" s="451"/>
      <c r="M38" s="451"/>
      <c r="N38" s="451"/>
      <c r="O38" s="451"/>
      <c r="P38" s="451"/>
      <c r="Q38" s="451"/>
      <c r="R38" s="451"/>
      <c r="S38" s="445">
        <f t="shared" si="6"/>
        <v>0</v>
      </c>
      <c r="T38" s="451"/>
      <c r="U38" s="451"/>
      <c r="V38" s="451"/>
    </row>
    <row r="39" spans="1:22" s="441" customFormat="1" ht="45">
      <c r="A39" s="570"/>
      <c r="B39" s="570"/>
      <c r="C39" s="589">
        <v>4700</v>
      </c>
      <c r="D39" s="450" t="s">
        <v>385</v>
      </c>
      <c r="E39" s="502">
        <f t="shared" si="0"/>
        <v>5000</v>
      </c>
      <c r="F39" s="445">
        <f t="shared" si="2"/>
        <v>5000</v>
      </c>
      <c r="G39" s="445">
        <f t="shared" si="3"/>
        <v>5000</v>
      </c>
      <c r="H39" s="451">
        <v>5000</v>
      </c>
      <c r="I39" s="445">
        <f t="shared" si="4"/>
        <v>0</v>
      </c>
      <c r="J39" s="451"/>
      <c r="K39" s="451"/>
      <c r="L39" s="451"/>
      <c r="M39" s="451"/>
      <c r="N39" s="451"/>
      <c r="O39" s="451"/>
      <c r="P39" s="451"/>
      <c r="Q39" s="451"/>
      <c r="R39" s="451"/>
      <c r="S39" s="445">
        <f t="shared" si="6"/>
        <v>0</v>
      </c>
      <c r="T39" s="451"/>
      <c r="U39" s="451"/>
      <c r="V39" s="451"/>
    </row>
    <row r="40" spans="1:22" s="441" customFormat="1" ht="30">
      <c r="A40" s="570"/>
      <c r="B40" s="570"/>
      <c r="C40" s="589">
        <v>4740</v>
      </c>
      <c r="D40" s="450" t="s">
        <v>119</v>
      </c>
      <c r="E40" s="502">
        <f t="shared" si="0"/>
        <v>1000</v>
      </c>
      <c r="F40" s="445">
        <f t="shared" si="2"/>
        <v>1000</v>
      </c>
      <c r="G40" s="445">
        <f t="shared" si="3"/>
        <v>1000</v>
      </c>
      <c r="H40" s="451">
        <v>1000</v>
      </c>
      <c r="I40" s="445">
        <f t="shared" si="4"/>
        <v>0</v>
      </c>
      <c r="J40" s="451"/>
      <c r="K40" s="451"/>
      <c r="L40" s="451"/>
      <c r="M40" s="451"/>
      <c r="N40" s="451"/>
      <c r="O40" s="451"/>
      <c r="P40" s="451"/>
      <c r="Q40" s="451"/>
      <c r="R40" s="451"/>
      <c r="S40" s="445">
        <f t="shared" si="6"/>
        <v>0</v>
      </c>
      <c r="T40" s="451"/>
      <c r="U40" s="451"/>
      <c r="V40" s="451"/>
    </row>
    <row r="41" spans="1:22" s="441" customFormat="1" ht="30">
      <c r="A41" s="570"/>
      <c r="B41" s="570"/>
      <c r="C41" s="589">
        <v>4750</v>
      </c>
      <c r="D41" s="450" t="s">
        <v>120</v>
      </c>
      <c r="E41" s="502">
        <f t="shared" si="0"/>
        <v>3000</v>
      </c>
      <c r="F41" s="445">
        <f t="shared" si="2"/>
        <v>3000</v>
      </c>
      <c r="G41" s="445">
        <f t="shared" si="3"/>
        <v>3000</v>
      </c>
      <c r="H41" s="451">
        <v>3000</v>
      </c>
      <c r="I41" s="445">
        <f t="shared" si="4"/>
        <v>0</v>
      </c>
      <c r="J41" s="451"/>
      <c r="K41" s="451"/>
      <c r="L41" s="451"/>
      <c r="M41" s="451"/>
      <c r="N41" s="451"/>
      <c r="O41" s="451"/>
      <c r="P41" s="451"/>
      <c r="Q41" s="451"/>
      <c r="R41" s="451"/>
      <c r="S41" s="445">
        <f t="shared" si="6"/>
        <v>0</v>
      </c>
      <c r="T41" s="451"/>
      <c r="U41" s="451"/>
      <c r="V41" s="451"/>
    </row>
    <row r="42" spans="1:22" s="441" customFormat="1" ht="72">
      <c r="A42" s="570"/>
      <c r="B42" s="570"/>
      <c r="C42" s="408">
        <v>6610</v>
      </c>
      <c r="D42" s="608" t="s">
        <v>26</v>
      </c>
      <c r="E42" s="502">
        <f>F42+S42</f>
        <v>87500</v>
      </c>
      <c r="F42" s="445">
        <f>G42+N42+O42+P42+Q42+R42</f>
        <v>0</v>
      </c>
      <c r="G42" s="445">
        <f>H42+I42</f>
        <v>0</v>
      </c>
      <c r="H42" s="451"/>
      <c r="I42" s="445">
        <f>SUM(J42:M42)</f>
        <v>0</v>
      </c>
      <c r="J42" s="451"/>
      <c r="K42" s="451"/>
      <c r="L42" s="451"/>
      <c r="M42" s="451"/>
      <c r="N42" s="451"/>
      <c r="O42" s="451"/>
      <c r="P42" s="451"/>
      <c r="Q42" s="451"/>
      <c r="R42" s="451"/>
      <c r="S42" s="445">
        <f>T42+V42</f>
        <v>87500</v>
      </c>
      <c r="T42" s="451">
        <v>87500</v>
      </c>
      <c r="U42" s="451"/>
      <c r="V42" s="451"/>
    </row>
    <row r="43" spans="1:22" s="441" customFormat="1" ht="30">
      <c r="A43" s="570"/>
      <c r="B43" s="570"/>
      <c r="C43" s="408">
        <v>6050</v>
      </c>
      <c r="D43" s="453" t="s">
        <v>121</v>
      </c>
      <c r="E43" s="502">
        <f t="shared" si="0"/>
        <v>5811817</v>
      </c>
      <c r="F43" s="445">
        <f t="shared" si="2"/>
        <v>0</v>
      </c>
      <c r="G43" s="445">
        <f t="shared" si="3"/>
        <v>0</v>
      </c>
      <c r="H43" s="451"/>
      <c r="I43" s="445">
        <f t="shared" si="4"/>
        <v>0</v>
      </c>
      <c r="J43" s="451"/>
      <c r="K43" s="451"/>
      <c r="L43" s="451"/>
      <c r="M43" s="451"/>
      <c r="N43" s="451"/>
      <c r="O43" s="451"/>
      <c r="P43" s="451"/>
      <c r="Q43" s="451"/>
      <c r="R43" s="451"/>
      <c r="S43" s="445">
        <f t="shared" si="6"/>
        <v>5811817</v>
      </c>
      <c r="T43" s="451">
        <v>5811817</v>
      </c>
      <c r="U43" s="451"/>
      <c r="V43" s="451"/>
    </row>
    <row r="44" spans="1:22" s="441" customFormat="1" ht="30">
      <c r="A44" s="570"/>
      <c r="B44" s="570"/>
      <c r="C44" s="408">
        <v>6058</v>
      </c>
      <c r="D44" s="453" t="s">
        <v>121</v>
      </c>
      <c r="E44" s="502">
        <f t="shared" si="0"/>
        <v>0</v>
      </c>
      <c r="F44" s="445">
        <f t="shared" si="2"/>
        <v>0</v>
      </c>
      <c r="G44" s="445">
        <f t="shared" si="3"/>
        <v>0</v>
      </c>
      <c r="H44" s="451"/>
      <c r="I44" s="445">
        <f t="shared" si="4"/>
        <v>0</v>
      </c>
      <c r="J44" s="451"/>
      <c r="K44" s="451"/>
      <c r="L44" s="451"/>
      <c r="M44" s="451"/>
      <c r="N44" s="451"/>
      <c r="O44" s="451"/>
      <c r="P44" s="451"/>
      <c r="Q44" s="451"/>
      <c r="R44" s="451"/>
      <c r="S44" s="445">
        <f t="shared" si="6"/>
        <v>0</v>
      </c>
      <c r="T44" s="451"/>
      <c r="U44" s="451"/>
      <c r="V44" s="451"/>
    </row>
    <row r="45" spans="1:22" s="441" customFormat="1" ht="30">
      <c r="A45" s="570"/>
      <c r="B45" s="570"/>
      <c r="C45" s="408">
        <v>6059</v>
      </c>
      <c r="D45" s="453" t="s">
        <v>121</v>
      </c>
      <c r="E45" s="502">
        <f t="shared" si="0"/>
        <v>1107497</v>
      </c>
      <c r="F45" s="445">
        <f t="shared" si="2"/>
        <v>0</v>
      </c>
      <c r="G45" s="445">
        <f t="shared" si="3"/>
        <v>0</v>
      </c>
      <c r="H45" s="451"/>
      <c r="I45" s="445">
        <f t="shared" si="4"/>
        <v>0</v>
      </c>
      <c r="J45" s="451"/>
      <c r="K45" s="451"/>
      <c r="L45" s="451"/>
      <c r="M45" s="451"/>
      <c r="N45" s="451"/>
      <c r="O45" s="451"/>
      <c r="P45" s="451"/>
      <c r="Q45" s="451"/>
      <c r="R45" s="451"/>
      <c r="S45" s="445">
        <f t="shared" si="6"/>
        <v>1107497</v>
      </c>
      <c r="T45" s="451">
        <f>SUM(U45)</f>
        <v>1107497</v>
      </c>
      <c r="U45" s="451">
        <v>1107497</v>
      </c>
      <c r="V45" s="451"/>
    </row>
    <row r="46" spans="1:22" s="441" customFormat="1" ht="45">
      <c r="A46" s="570"/>
      <c r="B46" s="570"/>
      <c r="C46" s="408">
        <v>6060</v>
      </c>
      <c r="D46" s="453" t="s">
        <v>603</v>
      </c>
      <c r="E46" s="502">
        <f t="shared" si="0"/>
        <v>0</v>
      </c>
      <c r="F46" s="445">
        <f t="shared" si="2"/>
        <v>0</v>
      </c>
      <c r="G46" s="445">
        <f t="shared" si="3"/>
        <v>0</v>
      </c>
      <c r="H46" s="451"/>
      <c r="I46" s="445">
        <f t="shared" si="4"/>
        <v>0</v>
      </c>
      <c r="J46" s="451"/>
      <c r="K46" s="451"/>
      <c r="L46" s="451"/>
      <c r="M46" s="451"/>
      <c r="N46" s="451"/>
      <c r="O46" s="451"/>
      <c r="P46" s="451"/>
      <c r="Q46" s="451"/>
      <c r="R46" s="451"/>
      <c r="S46" s="445">
        <f t="shared" si="6"/>
        <v>0</v>
      </c>
      <c r="T46" s="451"/>
      <c r="U46" s="451"/>
      <c r="V46" s="451"/>
    </row>
    <row r="47" spans="1:22" s="446" customFormat="1" ht="31.5">
      <c r="A47" s="570">
        <v>700</v>
      </c>
      <c r="B47" s="570"/>
      <c r="C47" s="587"/>
      <c r="D47" s="311" t="s">
        <v>122</v>
      </c>
      <c r="E47" s="502">
        <f t="shared" si="0"/>
        <v>1225370</v>
      </c>
      <c r="F47" s="445">
        <f t="shared" si="2"/>
        <v>1100770</v>
      </c>
      <c r="G47" s="445">
        <f t="shared" si="3"/>
        <v>1100770</v>
      </c>
      <c r="H47" s="445">
        <f aca="true" t="shared" si="12" ref="H47:V47">SUM(H48)</f>
        <v>1100770</v>
      </c>
      <c r="I47" s="445">
        <f t="shared" si="4"/>
        <v>0</v>
      </c>
      <c r="J47" s="445">
        <f t="shared" si="12"/>
        <v>0</v>
      </c>
      <c r="K47" s="445">
        <f t="shared" si="12"/>
        <v>0</v>
      </c>
      <c r="L47" s="445">
        <f t="shared" si="12"/>
        <v>0</v>
      </c>
      <c r="M47" s="445">
        <f t="shared" si="12"/>
        <v>0</v>
      </c>
      <c r="N47" s="445">
        <f t="shared" si="12"/>
        <v>0</v>
      </c>
      <c r="O47" s="445">
        <f t="shared" si="12"/>
        <v>0</v>
      </c>
      <c r="P47" s="445">
        <f t="shared" si="12"/>
        <v>0</v>
      </c>
      <c r="Q47" s="445">
        <f t="shared" si="12"/>
        <v>0</v>
      </c>
      <c r="R47" s="445">
        <f t="shared" si="12"/>
        <v>0</v>
      </c>
      <c r="S47" s="445">
        <f t="shared" si="6"/>
        <v>124600</v>
      </c>
      <c r="T47" s="445">
        <f t="shared" si="12"/>
        <v>124600</v>
      </c>
      <c r="U47" s="445">
        <f t="shared" si="12"/>
        <v>0</v>
      </c>
      <c r="V47" s="445">
        <f t="shared" si="12"/>
        <v>0</v>
      </c>
    </row>
    <row r="48" spans="1:22" s="449" customFormat="1" ht="31.5">
      <c r="A48" s="571"/>
      <c r="B48" s="571">
        <v>70005</v>
      </c>
      <c r="C48" s="588"/>
      <c r="D48" s="262" t="s">
        <v>123</v>
      </c>
      <c r="E48" s="502">
        <f t="shared" si="0"/>
        <v>1225370</v>
      </c>
      <c r="F48" s="445">
        <f t="shared" si="2"/>
        <v>1100770</v>
      </c>
      <c r="G48" s="445">
        <f t="shared" si="3"/>
        <v>1100770</v>
      </c>
      <c r="H48" s="448">
        <f>SUM(H49:H65)</f>
        <v>1100770</v>
      </c>
      <c r="I48" s="445">
        <f t="shared" si="4"/>
        <v>0</v>
      </c>
      <c r="J48" s="448">
        <f>SUM(J49:J65)</f>
        <v>0</v>
      </c>
      <c r="K48" s="448">
        <f aca="true" t="shared" si="13" ref="K48:R48">SUM(K49:K65)</f>
        <v>0</v>
      </c>
      <c r="L48" s="448">
        <f t="shared" si="13"/>
        <v>0</v>
      </c>
      <c r="M48" s="448">
        <f t="shared" si="13"/>
        <v>0</v>
      </c>
      <c r="N48" s="448">
        <f t="shared" si="13"/>
        <v>0</v>
      </c>
      <c r="O48" s="448">
        <f t="shared" si="13"/>
        <v>0</v>
      </c>
      <c r="P48" s="448">
        <f>SUM(P49:P65)</f>
        <v>0</v>
      </c>
      <c r="Q48" s="448">
        <f t="shared" si="13"/>
        <v>0</v>
      </c>
      <c r="R48" s="448">
        <f t="shared" si="13"/>
        <v>0</v>
      </c>
      <c r="S48" s="445">
        <f t="shared" si="6"/>
        <v>124600</v>
      </c>
      <c r="T48" s="448">
        <f>SUM(T49:T65)</f>
        <v>124600</v>
      </c>
      <c r="U48" s="448">
        <f>SUM(U49:U65)</f>
        <v>0</v>
      </c>
      <c r="V48" s="448">
        <f>SUM(V49:V65)</f>
        <v>0</v>
      </c>
    </row>
    <row r="49" spans="1:22" s="441" customFormat="1" ht="15.75">
      <c r="A49" s="570"/>
      <c r="B49" s="570"/>
      <c r="C49" s="589">
        <v>4260</v>
      </c>
      <c r="D49" s="450" t="s">
        <v>108</v>
      </c>
      <c r="E49" s="502">
        <f t="shared" si="0"/>
        <v>190000</v>
      </c>
      <c r="F49" s="445">
        <f t="shared" si="2"/>
        <v>190000</v>
      </c>
      <c r="G49" s="445">
        <f t="shared" si="3"/>
        <v>190000</v>
      </c>
      <c r="H49" s="451">
        <v>190000</v>
      </c>
      <c r="I49" s="445">
        <f t="shared" si="4"/>
        <v>0</v>
      </c>
      <c r="J49" s="451"/>
      <c r="K49" s="451"/>
      <c r="L49" s="451"/>
      <c r="M49" s="451"/>
      <c r="N49" s="451"/>
      <c r="O49" s="451"/>
      <c r="P49" s="451"/>
      <c r="Q49" s="451"/>
      <c r="R49" s="451"/>
      <c r="S49" s="445">
        <f t="shared" si="6"/>
        <v>0</v>
      </c>
      <c r="T49" s="451"/>
      <c r="U49" s="451"/>
      <c r="V49" s="451"/>
    </row>
    <row r="50" spans="1:22" s="441" customFormat="1" ht="30">
      <c r="A50" s="572"/>
      <c r="B50" s="572"/>
      <c r="C50" s="589">
        <v>4270</v>
      </c>
      <c r="D50" s="450" t="s">
        <v>124</v>
      </c>
      <c r="E50" s="502">
        <f t="shared" si="0"/>
        <v>40400</v>
      </c>
      <c r="F50" s="445">
        <f t="shared" si="2"/>
        <v>40400</v>
      </c>
      <c r="G50" s="445">
        <f t="shared" si="3"/>
        <v>40400</v>
      </c>
      <c r="H50" s="451">
        <v>40400</v>
      </c>
      <c r="I50" s="445">
        <f t="shared" si="4"/>
        <v>0</v>
      </c>
      <c r="J50" s="451"/>
      <c r="K50" s="451"/>
      <c r="L50" s="451"/>
      <c r="M50" s="451"/>
      <c r="N50" s="451"/>
      <c r="O50" s="451"/>
      <c r="P50" s="451"/>
      <c r="Q50" s="451"/>
      <c r="R50" s="451"/>
      <c r="S50" s="445">
        <f t="shared" si="6"/>
        <v>0</v>
      </c>
      <c r="T50" s="451"/>
      <c r="U50" s="451"/>
      <c r="V50" s="451"/>
    </row>
    <row r="51" spans="1:22" s="441" customFormat="1" ht="30">
      <c r="A51" s="572"/>
      <c r="B51" s="572"/>
      <c r="C51" s="589">
        <v>4300</v>
      </c>
      <c r="D51" s="450" t="s">
        <v>90</v>
      </c>
      <c r="E51" s="502">
        <f t="shared" si="0"/>
        <v>103304</v>
      </c>
      <c r="F51" s="445">
        <f t="shared" si="2"/>
        <v>103304</v>
      </c>
      <c r="G51" s="445">
        <f t="shared" si="3"/>
        <v>103304</v>
      </c>
      <c r="H51" s="451">
        <v>103304</v>
      </c>
      <c r="I51" s="445">
        <f t="shared" si="4"/>
        <v>0</v>
      </c>
      <c r="J51" s="451"/>
      <c r="K51" s="451"/>
      <c r="L51" s="451"/>
      <c r="M51" s="451"/>
      <c r="N51" s="451"/>
      <c r="O51" s="451"/>
      <c r="P51" s="451"/>
      <c r="Q51" s="451"/>
      <c r="R51" s="451"/>
      <c r="S51" s="445">
        <f t="shared" si="6"/>
        <v>0</v>
      </c>
      <c r="T51" s="451"/>
      <c r="U51" s="451"/>
      <c r="V51" s="451"/>
    </row>
    <row r="52" spans="1:22" s="441" customFormat="1" ht="30">
      <c r="A52" s="572"/>
      <c r="B52" s="572"/>
      <c r="C52" s="589">
        <v>4350</v>
      </c>
      <c r="D52" s="450" t="s">
        <v>801</v>
      </c>
      <c r="E52" s="502">
        <f t="shared" si="0"/>
        <v>4000</v>
      </c>
      <c r="F52" s="445">
        <f t="shared" si="2"/>
        <v>4000</v>
      </c>
      <c r="G52" s="445">
        <f t="shared" si="3"/>
        <v>4000</v>
      </c>
      <c r="H52" s="451">
        <v>4000</v>
      </c>
      <c r="I52" s="445">
        <f t="shared" si="4"/>
        <v>0</v>
      </c>
      <c r="J52" s="451"/>
      <c r="K52" s="451"/>
      <c r="L52" s="451"/>
      <c r="M52" s="451"/>
      <c r="N52" s="451"/>
      <c r="O52" s="451"/>
      <c r="P52" s="451"/>
      <c r="Q52" s="451"/>
      <c r="R52" s="451"/>
      <c r="S52" s="445">
        <f t="shared" si="6"/>
        <v>0</v>
      </c>
      <c r="T52" s="451"/>
      <c r="U52" s="451"/>
      <c r="V52" s="451"/>
    </row>
    <row r="53" spans="1:22" s="441" customFormat="1" ht="30">
      <c r="A53" s="572"/>
      <c r="B53" s="572"/>
      <c r="C53" s="589">
        <v>4370</v>
      </c>
      <c r="D53" s="450" t="s">
        <v>390</v>
      </c>
      <c r="E53" s="502">
        <f>F53+S53</f>
        <v>9300</v>
      </c>
      <c r="F53" s="445">
        <f>G53+N53+O53+P53+Q53+R53</f>
        <v>9300</v>
      </c>
      <c r="G53" s="445">
        <f>H53+I53</f>
        <v>9300</v>
      </c>
      <c r="H53" s="451">
        <v>9300</v>
      </c>
      <c r="I53" s="445">
        <f>SUM(J53:M53)</f>
        <v>0</v>
      </c>
      <c r="J53" s="451"/>
      <c r="K53" s="451"/>
      <c r="L53" s="451"/>
      <c r="M53" s="451"/>
      <c r="N53" s="451"/>
      <c r="O53" s="451"/>
      <c r="P53" s="451"/>
      <c r="Q53" s="451"/>
      <c r="R53" s="451"/>
      <c r="S53" s="445">
        <f>T53+V53</f>
        <v>0</v>
      </c>
      <c r="T53" s="451"/>
      <c r="U53" s="451"/>
      <c r="V53" s="451"/>
    </row>
    <row r="54" spans="1:22" s="441" customFormat="1" ht="45">
      <c r="A54" s="572"/>
      <c r="B54" s="572"/>
      <c r="C54" s="589">
        <v>4380</v>
      </c>
      <c r="D54" s="450" t="s">
        <v>512</v>
      </c>
      <c r="E54" s="502">
        <f>F54+S54</f>
        <v>28700</v>
      </c>
      <c r="F54" s="445">
        <f>G54+N54+O54+P54+Q54+R54</f>
        <v>28700</v>
      </c>
      <c r="G54" s="445">
        <f>H54+I54</f>
        <v>28700</v>
      </c>
      <c r="H54" s="451">
        <v>28700</v>
      </c>
      <c r="I54" s="445">
        <f>SUM(J54:M54)</f>
        <v>0</v>
      </c>
      <c r="J54" s="451"/>
      <c r="K54" s="451"/>
      <c r="L54" s="451"/>
      <c r="M54" s="451"/>
      <c r="N54" s="451"/>
      <c r="O54" s="451"/>
      <c r="P54" s="451"/>
      <c r="Q54" s="451"/>
      <c r="R54" s="451"/>
      <c r="S54" s="445">
        <f>T54+V54</f>
        <v>0</v>
      </c>
      <c r="T54" s="451"/>
      <c r="U54" s="451"/>
      <c r="V54" s="451"/>
    </row>
    <row r="55" spans="1:22" s="441" customFormat="1" ht="75.75" customHeight="1">
      <c r="A55" s="572"/>
      <c r="B55" s="572"/>
      <c r="C55" s="589">
        <v>4390</v>
      </c>
      <c r="D55" s="450" t="s">
        <v>380</v>
      </c>
      <c r="E55" s="502">
        <f t="shared" si="0"/>
        <v>101800</v>
      </c>
      <c r="F55" s="445">
        <f t="shared" si="2"/>
        <v>101800</v>
      </c>
      <c r="G55" s="445">
        <f t="shared" si="3"/>
        <v>101800</v>
      </c>
      <c r="H55" s="451">
        <v>101800</v>
      </c>
      <c r="I55" s="445">
        <f t="shared" si="4"/>
        <v>0</v>
      </c>
      <c r="J55" s="451"/>
      <c r="K55" s="451"/>
      <c r="L55" s="451"/>
      <c r="M55" s="451"/>
      <c r="N55" s="451"/>
      <c r="O55" s="451"/>
      <c r="P55" s="451"/>
      <c r="Q55" s="451"/>
      <c r="R55" s="451"/>
      <c r="S55" s="445">
        <f t="shared" si="6"/>
        <v>0</v>
      </c>
      <c r="T55" s="451"/>
      <c r="U55" s="451"/>
      <c r="V55" s="451"/>
    </row>
    <row r="56" spans="1:22" s="441" customFormat="1" ht="75">
      <c r="A56" s="572"/>
      <c r="B56" s="572"/>
      <c r="C56" s="589">
        <v>4400</v>
      </c>
      <c r="D56" s="450" t="s">
        <v>592</v>
      </c>
      <c r="E56" s="502">
        <f t="shared" si="0"/>
        <v>220000</v>
      </c>
      <c r="F56" s="445">
        <f t="shared" si="2"/>
        <v>220000</v>
      </c>
      <c r="G56" s="445">
        <f t="shared" si="3"/>
        <v>220000</v>
      </c>
      <c r="H56" s="451">
        <v>220000</v>
      </c>
      <c r="I56" s="445">
        <f t="shared" si="4"/>
        <v>0</v>
      </c>
      <c r="J56" s="451"/>
      <c r="K56" s="451"/>
      <c r="L56" s="451"/>
      <c r="M56" s="451"/>
      <c r="N56" s="451"/>
      <c r="O56" s="451"/>
      <c r="P56" s="451"/>
      <c r="Q56" s="451"/>
      <c r="R56" s="451"/>
      <c r="S56" s="445">
        <f t="shared" si="6"/>
        <v>0</v>
      </c>
      <c r="T56" s="451"/>
      <c r="U56" s="451"/>
      <c r="V56" s="451"/>
    </row>
    <row r="57" spans="1:22" s="441" customFormat="1" ht="30">
      <c r="A57" s="572"/>
      <c r="B57" s="572"/>
      <c r="C57" s="589">
        <v>4480</v>
      </c>
      <c r="D57" s="450" t="s">
        <v>118</v>
      </c>
      <c r="E57" s="502">
        <f t="shared" si="0"/>
        <v>1770</v>
      </c>
      <c r="F57" s="445">
        <f t="shared" si="2"/>
        <v>1770</v>
      </c>
      <c r="G57" s="445">
        <f t="shared" si="3"/>
        <v>1770</v>
      </c>
      <c r="H57" s="451">
        <v>1770</v>
      </c>
      <c r="I57" s="445">
        <f t="shared" si="4"/>
        <v>0</v>
      </c>
      <c r="J57" s="451"/>
      <c r="K57" s="451"/>
      <c r="L57" s="451"/>
      <c r="M57" s="451"/>
      <c r="N57" s="451"/>
      <c r="O57" s="451"/>
      <c r="P57" s="451"/>
      <c r="Q57" s="451"/>
      <c r="R57" s="451"/>
      <c r="S57" s="445">
        <f t="shared" si="6"/>
        <v>0</v>
      </c>
      <c r="T57" s="451"/>
      <c r="U57" s="451"/>
      <c r="V57" s="451"/>
    </row>
    <row r="58" spans="1:22" s="441" customFormat="1" ht="15.75" customHeight="1">
      <c r="A58" s="572"/>
      <c r="B58" s="572"/>
      <c r="C58" s="589">
        <v>4580</v>
      </c>
      <c r="D58" s="450" t="s">
        <v>585</v>
      </c>
      <c r="E58" s="502">
        <f t="shared" si="0"/>
        <v>0</v>
      </c>
      <c r="F58" s="445">
        <f t="shared" si="2"/>
        <v>0</v>
      </c>
      <c r="G58" s="445">
        <f t="shared" si="3"/>
        <v>0</v>
      </c>
      <c r="H58" s="451"/>
      <c r="I58" s="445">
        <f t="shared" si="4"/>
        <v>0</v>
      </c>
      <c r="J58" s="451"/>
      <c r="K58" s="451"/>
      <c r="L58" s="451"/>
      <c r="M58" s="451"/>
      <c r="N58" s="451"/>
      <c r="O58" s="451"/>
      <c r="P58" s="451"/>
      <c r="Q58" s="451"/>
      <c r="R58" s="451"/>
      <c r="S58" s="445">
        <f t="shared" si="6"/>
        <v>0</v>
      </c>
      <c r="T58" s="451"/>
      <c r="U58" s="451"/>
      <c r="V58" s="451"/>
    </row>
    <row r="59" spans="1:22" s="441" customFormat="1" ht="15.75" customHeight="1">
      <c r="A59" s="572"/>
      <c r="B59" s="572"/>
      <c r="C59" s="589">
        <v>4580</v>
      </c>
      <c r="D59" s="450" t="s">
        <v>585</v>
      </c>
      <c r="E59" s="502">
        <f t="shared" si="0"/>
        <v>0</v>
      </c>
      <c r="F59" s="445">
        <f t="shared" si="2"/>
        <v>0</v>
      </c>
      <c r="G59" s="445">
        <f t="shared" si="3"/>
        <v>0</v>
      </c>
      <c r="H59" s="451"/>
      <c r="I59" s="445">
        <f t="shared" si="4"/>
        <v>0</v>
      </c>
      <c r="J59" s="451"/>
      <c r="K59" s="451"/>
      <c r="L59" s="451"/>
      <c r="M59" s="451"/>
      <c r="N59" s="451"/>
      <c r="O59" s="451"/>
      <c r="P59" s="451"/>
      <c r="Q59" s="451"/>
      <c r="R59" s="451"/>
      <c r="S59" s="445">
        <f t="shared" si="6"/>
        <v>0</v>
      </c>
      <c r="T59" s="451"/>
      <c r="U59" s="451"/>
      <c r="V59" s="451"/>
    </row>
    <row r="60" spans="1:22" s="441" customFormat="1" ht="45">
      <c r="A60" s="572"/>
      <c r="B60" s="572"/>
      <c r="C60" s="589">
        <v>4590</v>
      </c>
      <c r="D60" s="450" t="s">
        <v>650</v>
      </c>
      <c r="E60" s="502">
        <f t="shared" si="0"/>
        <v>10000</v>
      </c>
      <c r="F60" s="445">
        <f t="shared" si="2"/>
        <v>10000</v>
      </c>
      <c r="G60" s="445">
        <f t="shared" si="3"/>
        <v>10000</v>
      </c>
      <c r="H60" s="451">
        <v>10000</v>
      </c>
      <c r="I60" s="445">
        <f t="shared" si="4"/>
        <v>0</v>
      </c>
      <c r="J60" s="451"/>
      <c r="K60" s="451"/>
      <c r="L60" s="451"/>
      <c r="M60" s="451"/>
      <c r="N60" s="451"/>
      <c r="O60" s="451"/>
      <c r="P60" s="451"/>
      <c r="Q60" s="451"/>
      <c r="R60" s="451"/>
      <c r="S60" s="445">
        <f t="shared" si="6"/>
        <v>0</v>
      </c>
      <c r="T60" s="451"/>
      <c r="U60" s="451"/>
      <c r="V60" s="451"/>
    </row>
    <row r="61" spans="1:22" s="441" customFormat="1" ht="47.25">
      <c r="A61" s="572"/>
      <c r="B61" s="572"/>
      <c r="C61" s="589">
        <v>4610</v>
      </c>
      <c r="D61" s="454" t="s">
        <v>125</v>
      </c>
      <c r="E61" s="502">
        <f t="shared" si="0"/>
        <v>391496</v>
      </c>
      <c r="F61" s="445">
        <f t="shared" si="2"/>
        <v>391496</v>
      </c>
      <c r="G61" s="445">
        <f t="shared" si="3"/>
        <v>391496</v>
      </c>
      <c r="H61" s="451">
        <v>391496</v>
      </c>
      <c r="I61" s="445">
        <f t="shared" si="4"/>
        <v>0</v>
      </c>
      <c r="J61" s="451"/>
      <c r="K61" s="451"/>
      <c r="L61" s="451"/>
      <c r="M61" s="451"/>
      <c r="N61" s="451"/>
      <c r="O61" s="451"/>
      <c r="P61" s="451"/>
      <c r="Q61" s="451"/>
      <c r="R61" s="451"/>
      <c r="S61" s="445">
        <f t="shared" si="6"/>
        <v>0</v>
      </c>
      <c r="T61" s="451"/>
      <c r="U61" s="451"/>
      <c r="V61" s="451"/>
    </row>
    <row r="62" spans="1:22" s="441" customFormat="1" ht="47.25">
      <c r="A62" s="572"/>
      <c r="B62" s="572"/>
      <c r="C62" s="589">
        <v>4700</v>
      </c>
      <c r="D62" s="454" t="s">
        <v>385</v>
      </c>
      <c r="E62" s="502">
        <f>F62+S62</f>
        <v>0</v>
      </c>
      <c r="F62" s="445">
        <f>G62+N62+O62+P62+Q62+R62</f>
        <v>0</v>
      </c>
      <c r="G62" s="445">
        <f>H62+I62</f>
        <v>0</v>
      </c>
      <c r="H62" s="451"/>
      <c r="I62" s="445">
        <f>SUM(J62:M62)</f>
        <v>0</v>
      </c>
      <c r="J62" s="451"/>
      <c r="K62" s="451"/>
      <c r="L62" s="451"/>
      <c r="M62" s="451"/>
      <c r="N62" s="451"/>
      <c r="O62" s="451"/>
      <c r="P62" s="451"/>
      <c r="Q62" s="451"/>
      <c r="R62" s="451"/>
      <c r="S62" s="445">
        <f>T62+V62</f>
        <v>0</v>
      </c>
      <c r="T62" s="451"/>
      <c r="U62" s="451"/>
      <c r="V62" s="451"/>
    </row>
    <row r="63" spans="1:22" s="441" customFormat="1" ht="30">
      <c r="A63" s="570"/>
      <c r="B63" s="570"/>
      <c r="C63" s="408">
        <v>6050</v>
      </c>
      <c r="D63" s="453" t="s">
        <v>121</v>
      </c>
      <c r="E63" s="502">
        <f t="shared" si="0"/>
        <v>124600</v>
      </c>
      <c r="F63" s="445">
        <f t="shared" si="2"/>
        <v>0</v>
      </c>
      <c r="G63" s="445">
        <f t="shared" si="3"/>
        <v>0</v>
      </c>
      <c r="H63" s="451"/>
      <c r="I63" s="445">
        <f t="shared" si="4"/>
        <v>0</v>
      </c>
      <c r="J63" s="451"/>
      <c r="K63" s="451"/>
      <c r="L63" s="451"/>
      <c r="M63" s="451"/>
      <c r="N63" s="451"/>
      <c r="O63" s="451"/>
      <c r="P63" s="451"/>
      <c r="Q63" s="451"/>
      <c r="R63" s="451"/>
      <c r="S63" s="445">
        <f t="shared" si="6"/>
        <v>124600</v>
      </c>
      <c r="T63" s="451">
        <v>124600</v>
      </c>
      <c r="U63" s="451"/>
      <c r="V63" s="451"/>
    </row>
    <row r="64" spans="1:22" s="441" customFormat="1" ht="45">
      <c r="A64" s="570"/>
      <c r="B64" s="570"/>
      <c r="C64" s="408">
        <v>6060</v>
      </c>
      <c r="D64" s="453" t="s">
        <v>489</v>
      </c>
      <c r="E64" s="502">
        <f t="shared" si="0"/>
        <v>0</v>
      </c>
      <c r="F64" s="445">
        <f t="shared" si="2"/>
        <v>0</v>
      </c>
      <c r="G64" s="445">
        <f t="shared" si="3"/>
        <v>0</v>
      </c>
      <c r="H64" s="451"/>
      <c r="I64" s="445">
        <f t="shared" si="4"/>
        <v>0</v>
      </c>
      <c r="J64" s="451"/>
      <c r="K64" s="451"/>
      <c r="L64" s="451"/>
      <c r="M64" s="451"/>
      <c r="N64" s="451"/>
      <c r="O64" s="451"/>
      <c r="P64" s="451"/>
      <c r="Q64" s="451"/>
      <c r="R64" s="451"/>
      <c r="S64" s="445">
        <f t="shared" si="6"/>
        <v>0</v>
      </c>
      <c r="T64" s="451"/>
      <c r="U64" s="451"/>
      <c r="V64" s="451"/>
    </row>
    <row r="65" spans="1:22" s="441" customFormat="1" ht="45" customHeight="1">
      <c r="A65" s="570"/>
      <c r="B65" s="570"/>
      <c r="C65" s="408">
        <v>6060</v>
      </c>
      <c r="D65" s="453" t="s">
        <v>627</v>
      </c>
      <c r="E65" s="502">
        <f t="shared" si="0"/>
        <v>0</v>
      </c>
      <c r="F65" s="445">
        <f t="shared" si="2"/>
        <v>0</v>
      </c>
      <c r="G65" s="445">
        <f t="shared" si="3"/>
        <v>0</v>
      </c>
      <c r="H65" s="451"/>
      <c r="I65" s="445">
        <f t="shared" si="4"/>
        <v>0</v>
      </c>
      <c r="J65" s="451"/>
      <c r="K65" s="451"/>
      <c r="L65" s="451"/>
      <c r="M65" s="451"/>
      <c r="N65" s="451"/>
      <c r="O65" s="451"/>
      <c r="P65" s="451"/>
      <c r="Q65" s="451"/>
      <c r="R65" s="451"/>
      <c r="S65" s="445">
        <f t="shared" si="6"/>
        <v>0</v>
      </c>
      <c r="T65" s="451"/>
      <c r="U65" s="451"/>
      <c r="V65" s="451"/>
    </row>
    <row r="66" spans="1:22" s="446" customFormat="1" ht="31.5">
      <c r="A66" s="570">
        <v>710</v>
      </c>
      <c r="B66" s="570"/>
      <c r="C66" s="587"/>
      <c r="D66" s="311" t="s">
        <v>134</v>
      </c>
      <c r="E66" s="502">
        <f t="shared" si="0"/>
        <v>674842</v>
      </c>
      <c r="F66" s="445">
        <f t="shared" si="2"/>
        <v>674842</v>
      </c>
      <c r="G66" s="445">
        <f t="shared" si="3"/>
        <v>674312</v>
      </c>
      <c r="H66" s="445">
        <f>SUM(H67+H69+H72+H108+H98)</f>
        <v>202601</v>
      </c>
      <c r="I66" s="445">
        <f t="shared" si="4"/>
        <v>471711</v>
      </c>
      <c r="J66" s="445">
        <f aca="true" t="shared" si="14" ref="J66:V66">SUM(J67+J69+J72+J108+J98)</f>
        <v>370845</v>
      </c>
      <c r="K66" s="445">
        <f t="shared" si="14"/>
        <v>25661</v>
      </c>
      <c r="L66" s="445">
        <f t="shared" si="14"/>
        <v>72505</v>
      </c>
      <c r="M66" s="445">
        <f t="shared" si="14"/>
        <v>2700</v>
      </c>
      <c r="N66" s="445">
        <f t="shared" si="14"/>
        <v>530</v>
      </c>
      <c r="O66" s="445">
        <f t="shared" si="14"/>
        <v>0</v>
      </c>
      <c r="P66" s="445">
        <f t="shared" si="14"/>
        <v>0</v>
      </c>
      <c r="Q66" s="445">
        <f t="shared" si="14"/>
        <v>0</v>
      </c>
      <c r="R66" s="445">
        <f t="shared" si="14"/>
        <v>0</v>
      </c>
      <c r="S66" s="445">
        <f t="shared" si="14"/>
        <v>0</v>
      </c>
      <c r="T66" s="445">
        <f t="shared" si="14"/>
        <v>0</v>
      </c>
      <c r="U66" s="445">
        <f t="shared" si="14"/>
        <v>0</v>
      </c>
      <c r="V66" s="445">
        <f t="shared" si="14"/>
        <v>0</v>
      </c>
    </row>
    <row r="67" spans="1:22" s="449" customFormat="1" ht="47.25">
      <c r="A67" s="571"/>
      <c r="B67" s="571">
        <v>71013</v>
      </c>
      <c r="C67" s="588"/>
      <c r="D67" s="262" t="s">
        <v>193</v>
      </c>
      <c r="E67" s="502">
        <f t="shared" si="0"/>
        <v>70000</v>
      </c>
      <c r="F67" s="445">
        <f t="shared" si="2"/>
        <v>70000</v>
      </c>
      <c r="G67" s="445">
        <f t="shared" si="3"/>
        <v>70000</v>
      </c>
      <c r="H67" s="448">
        <f aca="true" t="shared" si="15" ref="H67:V67">SUM(H68)</f>
        <v>70000</v>
      </c>
      <c r="I67" s="445">
        <f t="shared" si="4"/>
        <v>0</v>
      </c>
      <c r="J67" s="448">
        <f t="shared" si="15"/>
        <v>0</v>
      </c>
      <c r="K67" s="448">
        <f t="shared" si="15"/>
        <v>0</v>
      </c>
      <c r="L67" s="448">
        <f t="shared" si="15"/>
        <v>0</v>
      </c>
      <c r="M67" s="448">
        <f t="shared" si="15"/>
        <v>0</v>
      </c>
      <c r="N67" s="448">
        <f t="shared" si="15"/>
        <v>0</v>
      </c>
      <c r="O67" s="448">
        <f t="shared" si="15"/>
        <v>0</v>
      </c>
      <c r="P67" s="448">
        <f t="shared" si="15"/>
        <v>0</v>
      </c>
      <c r="Q67" s="448">
        <f t="shared" si="15"/>
        <v>0</v>
      </c>
      <c r="R67" s="448">
        <f t="shared" si="15"/>
        <v>0</v>
      </c>
      <c r="S67" s="445">
        <f t="shared" si="6"/>
        <v>0</v>
      </c>
      <c r="T67" s="448">
        <f t="shared" si="15"/>
        <v>0</v>
      </c>
      <c r="U67" s="448">
        <f t="shared" si="15"/>
        <v>0</v>
      </c>
      <c r="V67" s="448">
        <f t="shared" si="15"/>
        <v>0</v>
      </c>
    </row>
    <row r="68" spans="1:22" s="441" customFormat="1" ht="30">
      <c r="A68" s="572"/>
      <c r="B68" s="572"/>
      <c r="C68" s="589">
        <v>4300</v>
      </c>
      <c r="D68" s="450" t="s">
        <v>90</v>
      </c>
      <c r="E68" s="502">
        <f t="shared" si="0"/>
        <v>70000</v>
      </c>
      <c r="F68" s="445">
        <f t="shared" si="2"/>
        <v>70000</v>
      </c>
      <c r="G68" s="445">
        <f t="shared" si="3"/>
        <v>70000</v>
      </c>
      <c r="H68" s="451">
        <v>70000</v>
      </c>
      <c r="I68" s="445">
        <f t="shared" si="4"/>
        <v>0</v>
      </c>
      <c r="J68" s="451"/>
      <c r="K68" s="451"/>
      <c r="L68" s="451"/>
      <c r="M68" s="451"/>
      <c r="N68" s="451"/>
      <c r="O68" s="451"/>
      <c r="P68" s="451"/>
      <c r="Q68" s="451"/>
      <c r="R68" s="451"/>
      <c r="S68" s="445">
        <f t="shared" si="6"/>
        <v>0</v>
      </c>
      <c r="T68" s="451"/>
      <c r="U68" s="451"/>
      <c r="V68" s="451"/>
    </row>
    <row r="69" spans="1:22" s="449" customFormat="1" ht="47.25">
      <c r="A69" s="571"/>
      <c r="B69" s="571">
        <v>71014</v>
      </c>
      <c r="C69" s="588"/>
      <c r="D69" s="262" t="s">
        <v>194</v>
      </c>
      <c r="E69" s="502">
        <f t="shared" si="0"/>
        <v>4900</v>
      </c>
      <c r="F69" s="445">
        <f t="shared" si="2"/>
        <v>4900</v>
      </c>
      <c r="G69" s="445">
        <f t="shared" si="3"/>
        <v>4900</v>
      </c>
      <c r="H69" s="448">
        <f>SUM(H70:H71)</f>
        <v>4900</v>
      </c>
      <c r="I69" s="448">
        <f aca="true" t="shared" si="16" ref="I69:V69">SUM(I70:I71)</f>
        <v>0</v>
      </c>
      <c r="J69" s="448">
        <f t="shared" si="16"/>
        <v>0</v>
      </c>
      <c r="K69" s="448">
        <f t="shared" si="16"/>
        <v>0</v>
      </c>
      <c r="L69" s="448">
        <f t="shared" si="16"/>
        <v>0</v>
      </c>
      <c r="M69" s="448">
        <f t="shared" si="16"/>
        <v>0</v>
      </c>
      <c r="N69" s="448">
        <f t="shared" si="16"/>
        <v>0</v>
      </c>
      <c r="O69" s="448">
        <f t="shared" si="16"/>
        <v>0</v>
      </c>
      <c r="P69" s="448">
        <f t="shared" si="16"/>
        <v>0</v>
      </c>
      <c r="Q69" s="448">
        <f t="shared" si="16"/>
        <v>0</v>
      </c>
      <c r="R69" s="448">
        <f t="shared" si="16"/>
        <v>0</v>
      </c>
      <c r="S69" s="448">
        <f t="shared" si="16"/>
        <v>0</v>
      </c>
      <c r="T69" s="448">
        <f t="shared" si="16"/>
        <v>0</v>
      </c>
      <c r="U69" s="448">
        <f t="shared" si="16"/>
        <v>0</v>
      </c>
      <c r="V69" s="448">
        <f t="shared" si="16"/>
        <v>0</v>
      </c>
    </row>
    <row r="70" spans="1:22" s="441" customFormat="1" ht="30">
      <c r="A70" s="572"/>
      <c r="B70" s="572"/>
      <c r="C70" s="589">
        <v>4300</v>
      </c>
      <c r="D70" s="450" t="s">
        <v>90</v>
      </c>
      <c r="E70" s="502">
        <f>F70+S70</f>
        <v>4900</v>
      </c>
      <c r="F70" s="445">
        <f>G70+N70+O70+P70+Q70+R70</f>
        <v>4900</v>
      </c>
      <c r="G70" s="445">
        <f>H70+I70</f>
        <v>4900</v>
      </c>
      <c r="H70" s="451">
        <v>4900</v>
      </c>
      <c r="I70" s="445">
        <f>SUM(J70:M70)</f>
        <v>0</v>
      </c>
      <c r="J70" s="451"/>
      <c r="K70" s="451"/>
      <c r="L70" s="451"/>
      <c r="M70" s="451"/>
      <c r="N70" s="451"/>
      <c r="O70" s="451"/>
      <c r="P70" s="451"/>
      <c r="Q70" s="451"/>
      <c r="R70" s="451"/>
      <c r="S70" s="445">
        <f>T70+V70</f>
        <v>0</v>
      </c>
      <c r="T70" s="451"/>
      <c r="U70" s="451"/>
      <c r="V70" s="451"/>
    </row>
    <row r="71" spans="1:22" s="441" customFormat="1" ht="45">
      <c r="A71" s="572"/>
      <c r="B71" s="572"/>
      <c r="C71" s="589">
        <v>4390</v>
      </c>
      <c r="D71" s="450" t="s">
        <v>380</v>
      </c>
      <c r="E71" s="502">
        <f t="shared" si="0"/>
        <v>0</v>
      </c>
      <c r="F71" s="445">
        <f t="shared" si="2"/>
        <v>0</v>
      </c>
      <c r="G71" s="445">
        <f t="shared" si="3"/>
        <v>0</v>
      </c>
      <c r="H71" s="451"/>
      <c r="I71" s="445">
        <f t="shared" si="4"/>
        <v>0</v>
      </c>
      <c r="J71" s="451"/>
      <c r="K71" s="451"/>
      <c r="L71" s="451"/>
      <c r="M71" s="451"/>
      <c r="N71" s="451"/>
      <c r="O71" s="451"/>
      <c r="P71" s="451"/>
      <c r="Q71" s="451"/>
      <c r="R71" s="451"/>
      <c r="S71" s="445">
        <f t="shared" si="6"/>
        <v>0</v>
      </c>
      <c r="T71" s="451"/>
      <c r="U71" s="451"/>
      <c r="V71" s="451"/>
    </row>
    <row r="72" spans="1:22" s="449" customFormat="1" ht="15.75">
      <c r="A72" s="571"/>
      <c r="B72" s="571">
        <v>71015</v>
      </c>
      <c r="C72" s="588"/>
      <c r="D72" s="262" t="s">
        <v>195</v>
      </c>
      <c r="E72" s="502">
        <f t="shared" si="0"/>
        <v>585942</v>
      </c>
      <c r="F72" s="445">
        <f t="shared" si="2"/>
        <v>585942</v>
      </c>
      <c r="G72" s="445">
        <f t="shared" si="3"/>
        <v>585412</v>
      </c>
      <c r="H72" s="448">
        <f>SUM(H73:H97)</f>
        <v>119483</v>
      </c>
      <c r="I72" s="445">
        <f t="shared" si="4"/>
        <v>465929</v>
      </c>
      <c r="J72" s="448">
        <f aca="true" t="shared" si="17" ref="J72:R72">SUM(J73:J97)</f>
        <v>365931</v>
      </c>
      <c r="K72" s="448">
        <f t="shared" si="17"/>
        <v>25661</v>
      </c>
      <c r="L72" s="448">
        <f t="shared" si="17"/>
        <v>71637</v>
      </c>
      <c r="M72" s="448">
        <f t="shared" si="17"/>
        <v>2700</v>
      </c>
      <c r="N72" s="448">
        <f t="shared" si="17"/>
        <v>530</v>
      </c>
      <c r="O72" s="448">
        <f t="shared" si="17"/>
        <v>0</v>
      </c>
      <c r="P72" s="448">
        <f>SUM(P73:P97)</f>
        <v>0</v>
      </c>
      <c r="Q72" s="448">
        <f t="shared" si="17"/>
        <v>0</v>
      </c>
      <c r="R72" s="448">
        <f t="shared" si="17"/>
        <v>0</v>
      </c>
      <c r="S72" s="445">
        <f t="shared" si="6"/>
        <v>0</v>
      </c>
      <c r="T72" s="448">
        <f>SUM(T73:T97)</f>
        <v>0</v>
      </c>
      <c r="U72" s="448">
        <f>SUM(U73:U97)</f>
        <v>0</v>
      </c>
      <c r="V72" s="448">
        <f>SUM(V73:V97)</f>
        <v>0</v>
      </c>
    </row>
    <row r="73" spans="1:22" s="441" customFormat="1" ht="45">
      <c r="A73" s="570"/>
      <c r="B73" s="570"/>
      <c r="C73" s="589">
        <v>3020</v>
      </c>
      <c r="D73" s="450" t="s">
        <v>386</v>
      </c>
      <c r="E73" s="502">
        <f t="shared" si="0"/>
        <v>530</v>
      </c>
      <c r="F73" s="445">
        <f t="shared" si="2"/>
        <v>530</v>
      </c>
      <c r="G73" s="445">
        <f t="shared" si="3"/>
        <v>0</v>
      </c>
      <c r="H73" s="451"/>
      <c r="I73" s="445">
        <f t="shared" si="4"/>
        <v>0</v>
      </c>
      <c r="J73" s="451"/>
      <c r="K73" s="451"/>
      <c r="L73" s="451"/>
      <c r="M73" s="451"/>
      <c r="N73" s="451">
        <v>530</v>
      </c>
      <c r="O73" s="451"/>
      <c r="P73" s="451"/>
      <c r="Q73" s="451"/>
      <c r="R73" s="451"/>
      <c r="S73" s="445">
        <f t="shared" si="6"/>
        <v>0</v>
      </c>
      <c r="T73" s="451"/>
      <c r="U73" s="451"/>
      <c r="V73" s="451"/>
    </row>
    <row r="74" spans="1:22" s="441" customFormat="1" ht="30">
      <c r="A74" s="570"/>
      <c r="B74" s="570"/>
      <c r="C74" s="408">
        <v>4010</v>
      </c>
      <c r="D74" s="450" t="s">
        <v>102</v>
      </c>
      <c r="E74" s="502">
        <f t="shared" si="0"/>
        <v>93708</v>
      </c>
      <c r="F74" s="445">
        <f t="shared" si="2"/>
        <v>93708</v>
      </c>
      <c r="G74" s="445">
        <f t="shared" si="3"/>
        <v>93708</v>
      </c>
      <c r="H74" s="451"/>
      <c r="I74" s="445">
        <f t="shared" si="4"/>
        <v>93708</v>
      </c>
      <c r="J74" s="451">
        <f>93300+408</f>
        <v>93708</v>
      </c>
      <c r="K74" s="451"/>
      <c r="L74" s="451"/>
      <c r="M74" s="451"/>
      <c r="N74" s="451"/>
      <c r="O74" s="451"/>
      <c r="P74" s="451"/>
      <c r="Q74" s="451"/>
      <c r="R74" s="451"/>
      <c r="S74" s="445">
        <f t="shared" si="6"/>
        <v>0</v>
      </c>
      <c r="T74" s="451"/>
      <c r="U74" s="451"/>
      <c r="V74" s="451"/>
    </row>
    <row r="75" spans="1:22" s="441" customFormat="1" ht="45">
      <c r="A75" s="570"/>
      <c r="B75" s="570"/>
      <c r="C75" s="408">
        <v>4020</v>
      </c>
      <c r="D75" s="450" t="s">
        <v>452</v>
      </c>
      <c r="E75" s="502">
        <f t="shared" si="0"/>
        <v>272223</v>
      </c>
      <c r="F75" s="445">
        <f t="shared" si="2"/>
        <v>272223</v>
      </c>
      <c r="G75" s="445">
        <f t="shared" si="3"/>
        <v>272223</v>
      </c>
      <c r="H75" s="451"/>
      <c r="I75" s="445">
        <f t="shared" si="4"/>
        <v>272223</v>
      </c>
      <c r="J75" s="451">
        <f>270489+1734</f>
        <v>272223</v>
      </c>
      <c r="K75" s="451"/>
      <c r="L75" s="451"/>
      <c r="M75" s="451"/>
      <c r="N75" s="451"/>
      <c r="O75" s="451"/>
      <c r="P75" s="451"/>
      <c r="Q75" s="451"/>
      <c r="R75" s="451"/>
      <c r="S75" s="445">
        <f t="shared" si="6"/>
        <v>0</v>
      </c>
      <c r="T75" s="451"/>
      <c r="U75" s="451"/>
      <c r="V75" s="451"/>
    </row>
    <row r="76" spans="1:22" s="441" customFormat="1" ht="30">
      <c r="A76" s="570"/>
      <c r="B76" s="570"/>
      <c r="C76" s="589">
        <v>4040</v>
      </c>
      <c r="D76" s="450" t="s">
        <v>103</v>
      </c>
      <c r="E76" s="502">
        <f t="shared" si="0"/>
        <v>25661</v>
      </c>
      <c r="F76" s="445">
        <f t="shared" si="2"/>
        <v>25661</v>
      </c>
      <c r="G76" s="445">
        <f t="shared" si="3"/>
        <v>25661</v>
      </c>
      <c r="H76" s="451"/>
      <c r="I76" s="445">
        <f t="shared" si="4"/>
        <v>25661</v>
      </c>
      <c r="J76" s="451"/>
      <c r="K76" s="451">
        <v>25661</v>
      </c>
      <c r="L76" s="451"/>
      <c r="M76" s="451"/>
      <c r="N76" s="451"/>
      <c r="O76" s="451"/>
      <c r="P76" s="451"/>
      <c r="Q76" s="451"/>
      <c r="R76" s="451"/>
      <c r="S76" s="445">
        <f t="shared" si="6"/>
        <v>0</v>
      </c>
      <c r="T76" s="451"/>
      <c r="U76" s="451"/>
      <c r="V76" s="451"/>
    </row>
    <row r="77" spans="1:22" s="441" customFormat="1" ht="45">
      <c r="A77" s="570"/>
      <c r="B77" s="570"/>
      <c r="C77" s="589">
        <v>4110</v>
      </c>
      <c r="D77" s="450" t="s">
        <v>104</v>
      </c>
      <c r="E77" s="502">
        <f t="shared" si="0"/>
        <v>62071</v>
      </c>
      <c r="F77" s="445">
        <f t="shared" si="2"/>
        <v>62071</v>
      </c>
      <c r="G77" s="445">
        <f t="shared" si="3"/>
        <v>62071</v>
      </c>
      <c r="H77" s="451"/>
      <c r="I77" s="445">
        <f t="shared" si="4"/>
        <v>62071</v>
      </c>
      <c r="J77" s="451"/>
      <c r="K77" s="451"/>
      <c r="L77" s="451">
        <f>61730+341</f>
        <v>62071</v>
      </c>
      <c r="M77" s="451"/>
      <c r="N77" s="451"/>
      <c r="O77" s="451"/>
      <c r="P77" s="451"/>
      <c r="Q77" s="451"/>
      <c r="R77" s="451"/>
      <c r="S77" s="445">
        <f t="shared" si="6"/>
        <v>0</v>
      </c>
      <c r="T77" s="451"/>
      <c r="U77" s="451"/>
      <c r="V77" s="451"/>
    </row>
    <row r="78" spans="1:22" s="441" customFormat="1" ht="30">
      <c r="A78" s="570"/>
      <c r="B78" s="570"/>
      <c r="C78" s="589">
        <v>4120</v>
      </c>
      <c r="D78" s="450" t="s">
        <v>105</v>
      </c>
      <c r="E78" s="502">
        <f aca="true" t="shared" si="18" ref="E78:E152">F78+S78</f>
        <v>9566</v>
      </c>
      <c r="F78" s="445">
        <f t="shared" si="2"/>
        <v>9566</v>
      </c>
      <c r="G78" s="445">
        <f t="shared" si="3"/>
        <v>9566</v>
      </c>
      <c r="H78" s="451"/>
      <c r="I78" s="445">
        <f t="shared" si="4"/>
        <v>9566</v>
      </c>
      <c r="J78" s="451"/>
      <c r="K78" s="451"/>
      <c r="L78" s="451">
        <f>9520+46</f>
        <v>9566</v>
      </c>
      <c r="M78" s="451"/>
      <c r="N78" s="451"/>
      <c r="O78" s="451"/>
      <c r="P78" s="451"/>
      <c r="Q78" s="451"/>
      <c r="R78" s="451"/>
      <c r="S78" s="445">
        <f t="shared" si="6"/>
        <v>0</v>
      </c>
      <c r="T78" s="451"/>
      <c r="U78" s="451"/>
      <c r="V78" s="451"/>
    </row>
    <row r="79" spans="1:22" s="441" customFormat="1" ht="30">
      <c r="A79" s="574"/>
      <c r="B79" s="570"/>
      <c r="C79" s="589">
        <v>4170</v>
      </c>
      <c r="D79" s="450" t="s">
        <v>196</v>
      </c>
      <c r="E79" s="502">
        <f t="shared" si="18"/>
        <v>2700</v>
      </c>
      <c r="F79" s="445">
        <f aca="true" t="shared" si="19" ref="F79:F153">G79+N79+O79+P79+Q79+R79</f>
        <v>2700</v>
      </c>
      <c r="G79" s="445">
        <f aca="true" t="shared" si="20" ref="G79:G153">H79+I79</f>
        <v>2700</v>
      </c>
      <c r="H79" s="451"/>
      <c r="I79" s="445">
        <f aca="true" t="shared" si="21" ref="I79:I153">SUM(J79:M79)</f>
        <v>2700</v>
      </c>
      <c r="J79" s="451"/>
      <c r="K79" s="451"/>
      <c r="L79" s="451"/>
      <c r="M79" s="451">
        <v>2700</v>
      </c>
      <c r="N79" s="451"/>
      <c r="O79" s="451"/>
      <c r="P79" s="451"/>
      <c r="Q79" s="451"/>
      <c r="R79" s="451"/>
      <c r="S79" s="445">
        <f aca="true" t="shared" si="22" ref="S79:S153">T79+V79</f>
        <v>0</v>
      </c>
      <c r="T79" s="451"/>
      <c r="U79" s="451"/>
      <c r="V79" s="451"/>
    </row>
    <row r="80" spans="1:22" s="441" customFormat="1" ht="30">
      <c r="A80" s="570"/>
      <c r="B80" s="570"/>
      <c r="C80" s="589">
        <v>4210</v>
      </c>
      <c r="D80" s="450" t="s">
        <v>107</v>
      </c>
      <c r="E80" s="502">
        <f t="shared" si="18"/>
        <v>26383</v>
      </c>
      <c r="F80" s="445">
        <f t="shared" si="19"/>
        <v>26383</v>
      </c>
      <c r="G80" s="445">
        <f t="shared" si="20"/>
        <v>26383</v>
      </c>
      <c r="H80" s="451">
        <v>26383</v>
      </c>
      <c r="I80" s="445">
        <f t="shared" si="21"/>
        <v>0</v>
      </c>
      <c r="J80" s="451"/>
      <c r="K80" s="451"/>
      <c r="L80" s="451"/>
      <c r="M80" s="451"/>
      <c r="N80" s="451"/>
      <c r="O80" s="451"/>
      <c r="P80" s="451"/>
      <c r="Q80" s="451"/>
      <c r="R80" s="451"/>
      <c r="S80" s="445">
        <f t="shared" si="22"/>
        <v>0</v>
      </c>
      <c r="T80" s="451"/>
      <c r="U80" s="451"/>
      <c r="V80" s="451"/>
    </row>
    <row r="81" spans="1:22" s="441" customFormat="1" ht="15.75">
      <c r="A81" s="570"/>
      <c r="B81" s="570"/>
      <c r="C81" s="589">
        <v>4260</v>
      </c>
      <c r="D81" s="450" t="s">
        <v>108</v>
      </c>
      <c r="E81" s="502">
        <f t="shared" si="18"/>
        <v>12500</v>
      </c>
      <c r="F81" s="445">
        <f t="shared" si="19"/>
        <v>12500</v>
      </c>
      <c r="G81" s="445">
        <f t="shared" si="20"/>
        <v>12500</v>
      </c>
      <c r="H81" s="451">
        <v>12500</v>
      </c>
      <c r="I81" s="445">
        <f t="shared" si="21"/>
        <v>0</v>
      </c>
      <c r="J81" s="451"/>
      <c r="K81" s="451"/>
      <c r="L81" s="451"/>
      <c r="M81" s="451"/>
      <c r="N81" s="451"/>
      <c r="O81" s="451"/>
      <c r="P81" s="451"/>
      <c r="Q81" s="451"/>
      <c r="R81" s="451"/>
      <c r="S81" s="445">
        <f t="shared" si="22"/>
        <v>0</v>
      </c>
      <c r="T81" s="451"/>
      <c r="U81" s="451"/>
      <c r="V81" s="451"/>
    </row>
    <row r="82" spans="1:22" s="441" customFormat="1" ht="30">
      <c r="A82" s="570"/>
      <c r="B82" s="570"/>
      <c r="C82" s="589">
        <v>4270</v>
      </c>
      <c r="D82" s="450" t="s">
        <v>124</v>
      </c>
      <c r="E82" s="502">
        <f t="shared" si="18"/>
        <v>1150</v>
      </c>
      <c r="F82" s="445">
        <f t="shared" si="19"/>
        <v>1150</v>
      </c>
      <c r="G82" s="445">
        <f t="shared" si="20"/>
        <v>1150</v>
      </c>
      <c r="H82" s="451">
        <v>1150</v>
      </c>
      <c r="I82" s="445">
        <f t="shared" si="21"/>
        <v>0</v>
      </c>
      <c r="J82" s="451"/>
      <c r="K82" s="451"/>
      <c r="L82" s="451"/>
      <c r="M82" s="451"/>
      <c r="N82" s="451"/>
      <c r="O82" s="451"/>
      <c r="P82" s="451"/>
      <c r="Q82" s="451"/>
      <c r="R82" s="451"/>
      <c r="S82" s="445">
        <f t="shared" si="22"/>
        <v>0</v>
      </c>
      <c r="T82" s="451"/>
      <c r="U82" s="451"/>
      <c r="V82" s="451"/>
    </row>
    <row r="83" spans="1:22" s="441" customFormat="1" ht="15.75">
      <c r="A83" s="570"/>
      <c r="B83" s="570"/>
      <c r="C83" s="589">
        <v>4280</v>
      </c>
      <c r="D83" s="450" t="s">
        <v>197</v>
      </c>
      <c r="E83" s="502">
        <f t="shared" si="18"/>
        <v>200</v>
      </c>
      <c r="F83" s="445">
        <f t="shared" si="19"/>
        <v>200</v>
      </c>
      <c r="G83" s="445">
        <f t="shared" si="20"/>
        <v>200</v>
      </c>
      <c r="H83" s="451">
        <v>200</v>
      </c>
      <c r="I83" s="445">
        <f t="shared" si="21"/>
        <v>0</v>
      </c>
      <c r="J83" s="451"/>
      <c r="K83" s="451"/>
      <c r="L83" s="451"/>
      <c r="M83" s="451"/>
      <c r="N83" s="451"/>
      <c r="O83" s="451"/>
      <c r="P83" s="451"/>
      <c r="Q83" s="451"/>
      <c r="R83" s="451"/>
      <c r="S83" s="445">
        <f t="shared" si="22"/>
        <v>0</v>
      </c>
      <c r="T83" s="451"/>
      <c r="U83" s="451"/>
      <c r="V83" s="451"/>
    </row>
    <row r="84" spans="1:22" s="441" customFormat="1" ht="33.75" customHeight="1">
      <c r="A84" s="570"/>
      <c r="B84" s="570"/>
      <c r="C84" s="589">
        <v>4300</v>
      </c>
      <c r="D84" s="450" t="s">
        <v>198</v>
      </c>
      <c r="E84" s="502">
        <f t="shared" si="18"/>
        <v>46843</v>
      </c>
      <c r="F84" s="445">
        <f t="shared" si="19"/>
        <v>46843</v>
      </c>
      <c r="G84" s="445">
        <f t="shared" si="20"/>
        <v>46843</v>
      </c>
      <c r="H84" s="451">
        <v>46843</v>
      </c>
      <c r="I84" s="445">
        <f t="shared" si="21"/>
        <v>0</v>
      </c>
      <c r="J84" s="451"/>
      <c r="K84" s="451"/>
      <c r="L84" s="451"/>
      <c r="M84" s="451"/>
      <c r="N84" s="451"/>
      <c r="O84" s="451"/>
      <c r="P84" s="451"/>
      <c r="Q84" s="451"/>
      <c r="R84" s="451"/>
      <c r="S84" s="445">
        <f t="shared" si="22"/>
        <v>0</v>
      </c>
      <c r="T84" s="451"/>
      <c r="U84" s="451"/>
      <c r="V84" s="451"/>
    </row>
    <row r="85" spans="1:22" s="441" customFormat="1" ht="30">
      <c r="A85" s="570"/>
      <c r="B85" s="570"/>
      <c r="C85" s="589">
        <v>4350</v>
      </c>
      <c r="D85" s="450" t="s">
        <v>801</v>
      </c>
      <c r="E85" s="502">
        <f t="shared" si="18"/>
        <v>700</v>
      </c>
      <c r="F85" s="445">
        <f t="shared" si="19"/>
        <v>700</v>
      </c>
      <c r="G85" s="445">
        <f t="shared" si="20"/>
        <v>700</v>
      </c>
      <c r="H85" s="451">
        <v>700</v>
      </c>
      <c r="I85" s="445">
        <f t="shared" si="21"/>
        <v>0</v>
      </c>
      <c r="J85" s="451"/>
      <c r="K85" s="451"/>
      <c r="L85" s="451"/>
      <c r="M85" s="451"/>
      <c r="N85" s="451"/>
      <c r="O85" s="451"/>
      <c r="P85" s="451"/>
      <c r="Q85" s="451"/>
      <c r="R85" s="451"/>
      <c r="S85" s="445">
        <f t="shared" si="22"/>
        <v>0</v>
      </c>
      <c r="T85" s="451"/>
      <c r="U85" s="451"/>
      <c r="V85" s="451"/>
    </row>
    <row r="86" spans="1:22" s="441" customFormat="1" ht="45">
      <c r="A86" s="570"/>
      <c r="B86" s="570"/>
      <c r="C86" s="589">
        <v>4360</v>
      </c>
      <c r="D86" s="450" t="s">
        <v>381</v>
      </c>
      <c r="E86" s="502">
        <f t="shared" si="18"/>
        <v>1200</v>
      </c>
      <c r="F86" s="445">
        <f t="shared" si="19"/>
        <v>1200</v>
      </c>
      <c r="G86" s="445">
        <f t="shared" si="20"/>
        <v>1200</v>
      </c>
      <c r="H86" s="451">
        <v>1200</v>
      </c>
      <c r="I86" s="445">
        <f t="shared" si="21"/>
        <v>0</v>
      </c>
      <c r="J86" s="451"/>
      <c r="K86" s="451"/>
      <c r="L86" s="451"/>
      <c r="M86" s="451"/>
      <c r="N86" s="451"/>
      <c r="O86" s="451"/>
      <c r="P86" s="451"/>
      <c r="Q86" s="451"/>
      <c r="R86" s="451"/>
      <c r="S86" s="445">
        <f t="shared" si="22"/>
        <v>0</v>
      </c>
      <c r="T86" s="451"/>
      <c r="U86" s="451"/>
      <c r="V86" s="451"/>
    </row>
    <row r="87" spans="1:22" s="441" customFormat="1" ht="45">
      <c r="A87" s="570"/>
      <c r="B87" s="570"/>
      <c r="C87" s="589">
        <v>4370</v>
      </c>
      <c r="D87" s="450" t="s">
        <v>382</v>
      </c>
      <c r="E87" s="502">
        <f t="shared" si="18"/>
        <v>4800</v>
      </c>
      <c r="F87" s="445">
        <f t="shared" si="19"/>
        <v>4800</v>
      </c>
      <c r="G87" s="445">
        <f t="shared" si="20"/>
        <v>4800</v>
      </c>
      <c r="H87" s="451">
        <v>4800</v>
      </c>
      <c r="I87" s="445">
        <f t="shared" si="21"/>
        <v>0</v>
      </c>
      <c r="J87" s="451"/>
      <c r="K87" s="451"/>
      <c r="L87" s="451"/>
      <c r="M87" s="451"/>
      <c r="N87" s="451"/>
      <c r="O87" s="451"/>
      <c r="P87" s="451"/>
      <c r="Q87" s="451"/>
      <c r="R87" s="451"/>
      <c r="S87" s="445">
        <f t="shared" si="22"/>
        <v>0</v>
      </c>
      <c r="T87" s="451"/>
      <c r="U87" s="451"/>
      <c r="V87" s="451"/>
    </row>
    <row r="88" spans="1:22" s="441" customFormat="1" ht="75">
      <c r="A88" s="570"/>
      <c r="B88" s="570"/>
      <c r="C88" s="589">
        <v>4400</v>
      </c>
      <c r="D88" s="450" t="s">
        <v>592</v>
      </c>
      <c r="E88" s="502">
        <f t="shared" si="18"/>
        <v>4700</v>
      </c>
      <c r="F88" s="445">
        <f t="shared" si="19"/>
        <v>4700</v>
      </c>
      <c r="G88" s="445">
        <f t="shared" si="20"/>
        <v>4700</v>
      </c>
      <c r="H88" s="451">
        <v>4700</v>
      </c>
      <c r="I88" s="445">
        <f t="shared" si="21"/>
        <v>0</v>
      </c>
      <c r="J88" s="451"/>
      <c r="K88" s="451"/>
      <c r="L88" s="451"/>
      <c r="M88" s="451"/>
      <c r="N88" s="451"/>
      <c r="O88" s="451"/>
      <c r="P88" s="451"/>
      <c r="Q88" s="451"/>
      <c r="R88" s="451"/>
      <c r="S88" s="445">
        <f t="shared" si="22"/>
        <v>0</v>
      </c>
      <c r="T88" s="451"/>
      <c r="U88" s="451"/>
      <c r="V88" s="451"/>
    </row>
    <row r="89" spans="1:22" s="441" customFormat="1" ht="30">
      <c r="A89" s="570"/>
      <c r="B89" s="570"/>
      <c r="C89" s="589">
        <v>4410</v>
      </c>
      <c r="D89" s="450" t="s">
        <v>115</v>
      </c>
      <c r="E89" s="502">
        <f t="shared" si="18"/>
        <v>3000</v>
      </c>
      <c r="F89" s="445">
        <f t="shared" si="19"/>
        <v>3000</v>
      </c>
      <c r="G89" s="445">
        <f t="shared" si="20"/>
        <v>3000</v>
      </c>
      <c r="H89" s="451">
        <v>3000</v>
      </c>
      <c r="I89" s="445">
        <f t="shared" si="21"/>
        <v>0</v>
      </c>
      <c r="J89" s="451"/>
      <c r="K89" s="451"/>
      <c r="L89" s="451"/>
      <c r="M89" s="451"/>
      <c r="N89" s="451"/>
      <c r="O89" s="451"/>
      <c r="P89" s="451"/>
      <c r="Q89" s="451"/>
      <c r="R89" s="451"/>
      <c r="S89" s="445">
        <f t="shared" si="22"/>
        <v>0</v>
      </c>
      <c r="T89" s="451"/>
      <c r="U89" s="451"/>
      <c r="V89" s="451"/>
    </row>
    <row r="90" spans="1:22" s="441" customFormat="1" ht="15.75">
      <c r="A90" s="570"/>
      <c r="B90" s="570"/>
      <c r="C90" s="589">
        <v>4430</v>
      </c>
      <c r="D90" s="450" t="s">
        <v>116</v>
      </c>
      <c r="E90" s="502">
        <f t="shared" si="18"/>
        <v>3350</v>
      </c>
      <c r="F90" s="445">
        <f t="shared" si="19"/>
        <v>3350</v>
      </c>
      <c r="G90" s="445">
        <f t="shared" si="20"/>
        <v>3350</v>
      </c>
      <c r="H90" s="451">
        <v>3350</v>
      </c>
      <c r="I90" s="445">
        <f t="shared" si="21"/>
        <v>0</v>
      </c>
      <c r="J90" s="451"/>
      <c r="K90" s="451"/>
      <c r="L90" s="451"/>
      <c r="M90" s="451"/>
      <c r="N90" s="451"/>
      <c r="O90" s="451"/>
      <c r="P90" s="451"/>
      <c r="Q90" s="451"/>
      <c r="R90" s="451"/>
      <c r="S90" s="445">
        <f t="shared" si="22"/>
        <v>0</v>
      </c>
      <c r="T90" s="451"/>
      <c r="U90" s="451"/>
      <c r="V90" s="451"/>
    </row>
    <row r="91" spans="1:22" s="441" customFormat="1" ht="57.75" customHeight="1">
      <c r="A91" s="570"/>
      <c r="B91" s="570"/>
      <c r="C91" s="589">
        <v>4440</v>
      </c>
      <c r="D91" s="450" t="s">
        <v>117</v>
      </c>
      <c r="E91" s="502">
        <f t="shared" si="18"/>
        <v>8907</v>
      </c>
      <c r="F91" s="445">
        <f t="shared" si="19"/>
        <v>8907</v>
      </c>
      <c r="G91" s="445">
        <f t="shared" si="20"/>
        <v>8907</v>
      </c>
      <c r="H91" s="451">
        <v>8907</v>
      </c>
      <c r="I91" s="445">
        <f t="shared" si="21"/>
        <v>0</v>
      </c>
      <c r="J91" s="451"/>
      <c r="K91" s="451"/>
      <c r="L91" s="451"/>
      <c r="M91" s="451"/>
      <c r="N91" s="451"/>
      <c r="O91" s="451"/>
      <c r="P91" s="451"/>
      <c r="Q91" s="451"/>
      <c r="R91" s="451"/>
      <c r="S91" s="445">
        <f t="shared" si="22"/>
        <v>0</v>
      </c>
      <c r="T91" s="451"/>
      <c r="U91" s="451"/>
      <c r="V91" s="451"/>
    </row>
    <row r="92" spans="1:22" s="441" customFormat="1" ht="30">
      <c r="A92" s="570"/>
      <c r="B92" s="570"/>
      <c r="C92" s="589">
        <v>4480</v>
      </c>
      <c r="D92" s="450" t="s">
        <v>246</v>
      </c>
      <c r="E92" s="502">
        <f t="shared" si="18"/>
        <v>1300</v>
      </c>
      <c r="F92" s="445">
        <f t="shared" si="19"/>
        <v>1300</v>
      </c>
      <c r="G92" s="445">
        <f t="shared" si="20"/>
        <v>1300</v>
      </c>
      <c r="H92" s="451">
        <v>1300</v>
      </c>
      <c r="I92" s="445">
        <f t="shared" si="21"/>
        <v>0</v>
      </c>
      <c r="J92" s="451"/>
      <c r="K92" s="451"/>
      <c r="L92" s="451"/>
      <c r="M92" s="451"/>
      <c r="N92" s="451"/>
      <c r="O92" s="451"/>
      <c r="P92" s="451"/>
      <c r="Q92" s="451"/>
      <c r="R92" s="451"/>
      <c r="S92" s="445">
        <f t="shared" si="22"/>
        <v>0</v>
      </c>
      <c r="T92" s="451"/>
      <c r="U92" s="451"/>
      <c r="V92" s="451"/>
    </row>
    <row r="93" spans="1:22" s="441" customFormat="1" ht="30">
      <c r="A93" s="570"/>
      <c r="B93" s="570"/>
      <c r="C93" s="589">
        <v>4550</v>
      </c>
      <c r="D93" s="450" t="s">
        <v>490</v>
      </c>
      <c r="E93" s="502">
        <f t="shared" si="18"/>
        <v>800</v>
      </c>
      <c r="F93" s="445">
        <f t="shared" si="19"/>
        <v>800</v>
      </c>
      <c r="G93" s="445">
        <f t="shared" si="20"/>
        <v>800</v>
      </c>
      <c r="H93" s="451">
        <v>800</v>
      </c>
      <c r="I93" s="445">
        <f t="shared" si="21"/>
        <v>0</v>
      </c>
      <c r="J93" s="451"/>
      <c r="K93" s="451"/>
      <c r="L93" s="451"/>
      <c r="M93" s="451"/>
      <c r="N93" s="451"/>
      <c r="O93" s="451"/>
      <c r="P93" s="451"/>
      <c r="Q93" s="451"/>
      <c r="R93" s="451"/>
      <c r="S93" s="445">
        <f t="shared" si="22"/>
        <v>0</v>
      </c>
      <c r="T93" s="451"/>
      <c r="U93" s="451"/>
      <c r="V93" s="451"/>
    </row>
    <row r="94" spans="1:22" s="441" customFormat="1" ht="60">
      <c r="A94" s="570"/>
      <c r="B94" s="570"/>
      <c r="C94" s="589">
        <v>4740</v>
      </c>
      <c r="D94" s="450" t="s">
        <v>199</v>
      </c>
      <c r="E94" s="502">
        <f t="shared" si="18"/>
        <v>1050</v>
      </c>
      <c r="F94" s="445">
        <f t="shared" si="19"/>
        <v>1050</v>
      </c>
      <c r="G94" s="445">
        <f t="shared" si="20"/>
        <v>1050</v>
      </c>
      <c r="H94" s="451">
        <v>1050</v>
      </c>
      <c r="I94" s="445">
        <f t="shared" si="21"/>
        <v>0</v>
      </c>
      <c r="J94" s="451"/>
      <c r="K94" s="451"/>
      <c r="L94" s="451"/>
      <c r="M94" s="451"/>
      <c r="N94" s="451"/>
      <c r="O94" s="451"/>
      <c r="P94" s="451"/>
      <c r="Q94" s="451"/>
      <c r="R94" s="451"/>
      <c r="S94" s="445">
        <f t="shared" si="22"/>
        <v>0</v>
      </c>
      <c r="T94" s="451"/>
      <c r="U94" s="451"/>
      <c r="V94" s="451"/>
    </row>
    <row r="95" spans="1:22" s="441" customFormat="1" ht="45">
      <c r="A95" s="570"/>
      <c r="B95" s="570"/>
      <c r="C95" s="589">
        <v>4700</v>
      </c>
      <c r="D95" s="450" t="s">
        <v>385</v>
      </c>
      <c r="E95" s="502">
        <f t="shared" si="18"/>
        <v>200</v>
      </c>
      <c r="F95" s="445">
        <f t="shared" si="19"/>
        <v>200</v>
      </c>
      <c r="G95" s="445">
        <f t="shared" si="20"/>
        <v>200</v>
      </c>
      <c r="H95" s="451">
        <v>200</v>
      </c>
      <c r="I95" s="445">
        <f t="shared" si="21"/>
        <v>0</v>
      </c>
      <c r="J95" s="451"/>
      <c r="K95" s="451"/>
      <c r="L95" s="451"/>
      <c r="M95" s="451"/>
      <c r="N95" s="451"/>
      <c r="O95" s="451"/>
      <c r="P95" s="451"/>
      <c r="Q95" s="451"/>
      <c r="R95" s="451"/>
      <c r="S95" s="445">
        <f t="shared" si="22"/>
        <v>0</v>
      </c>
      <c r="T95" s="451"/>
      <c r="U95" s="451"/>
      <c r="V95" s="451"/>
    </row>
    <row r="96" spans="1:22" s="441" customFormat="1" ht="45">
      <c r="A96" s="570"/>
      <c r="B96" s="570"/>
      <c r="C96" s="589">
        <v>4750</v>
      </c>
      <c r="D96" s="450" t="s">
        <v>200</v>
      </c>
      <c r="E96" s="502">
        <f t="shared" si="18"/>
        <v>2400</v>
      </c>
      <c r="F96" s="445">
        <f t="shared" si="19"/>
        <v>2400</v>
      </c>
      <c r="G96" s="445">
        <f t="shared" si="20"/>
        <v>2400</v>
      </c>
      <c r="H96" s="451">
        <v>2400</v>
      </c>
      <c r="I96" s="445">
        <f t="shared" si="21"/>
        <v>0</v>
      </c>
      <c r="J96" s="451"/>
      <c r="K96" s="451"/>
      <c r="L96" s="451"/>
      <c r="M96" s="451"/>
      <c r="N96" s="451"/>
      <c r="O96" s="451"/>
      <c r="P96" s="451"/>
      <c r="Q96" s="451"/>
      <c r="R96" s="451"/>
      <c r="S96" s="445">
        <f t="shared" si="22"/>
        <v>0</v>
      </c>
      <c r="T96" s="451"/>
      <c r="U96" s="451"/>
      <c r="V96" s="451"/>
    </row>
    <row r="97" spans="1:22" s="441" customFormat="1" ht="45" customHeight="1">
      <c r="A97" s="570"/>
      <c r="B97" s="570"/>
      <c r="C97" s="589">
        <v>4610</v>
      </c>
      <c r="D97" s="453" t="s">
        <v>211</v>
      </c>
      <c r="E97" s="502">
        <f t="shared" si="18"/>
        <v>0</v>
      </c>
      <c r="F97" s="445">
        <f t="shared" si="19"/>
        <v>0</v>
      </c>
      <c r="G97" s="445">
        <f t="shared" si="20"/>
        <v>0</v>
      </c>
      <c r="H97" s="451"/>
      <c r="I97" s="445">
        <f t="shared" si="21"/>
        <v>0</v>
      </c>
      <c r="J97" s="451"/>
      <c r="K97" s="451"/>
      <c r="L97" s="451"/>
      <c r="M97" s="451"/>
      <c r="N97" s="451"/>
      <c r="O97" s="451"/>
      <c r="P97" s="451"/>
      <c r="Q97" s="451"/>
      <c r="R97" s="451"/>
      <c r="S97" s="445">
        <f t="shared" si="22"/>
        <v>0</v>
      </c>
      <c r="T97" s="451">
        <v>0</v>
      </c>
      <c r="U97" s="451">
        <v>0</v>
      </c>
      <c r="V97" s="451">
        <v>0</v>
      </c>
    </row>
    <row r="98" spans="1:22" s="449" customFormat="1" ht="31.5">
      <c r="A98" s="571"/>
      <c r="B98" s="571">
        <v>71078</v>
      </c>
      <c r="C98" s="588"/>
      <c r="D98" s="262" t="s">
        <v>543</v>
      </c>
      <c r="E98" s="502">
        <f t="shared" si="18"/>
        <v>10000</v>
      </c>
      <c r="F98" s="445">
        <f t="shared" si="19"/>
        <v>10000</v>
      </c>
      <c r="G98" s="445">
        <f t="shared" si="20"/>
        <v>10000</v>
      </c>
      <c r="H98" s="448">
        <f aca="true" t="shared" si="23" ref="H98:V98">SUM(H99:H107)</f>
        <v>4218</v>
      </c>
      <c r="I98" s="448">
        <f t="shared" si="23"/>
        <v>5782</v>
      </c>
      <c r="J98" s="448">
        <f t="shared" si="23"/>
        <v>4914</v>
      </c>
      <c r="K98" s="448">
        <f t="shared" si="23"/>
        <v>0</v>
      </c>
      <c r="L98" s="448">
        <f t="shared" si="23"/>
        <v>868</v>
      </c>
      <c r="M98" s="448">
        <f t="shared" si="23"/>
        <v>0</v>
      </c>
      <c r="N98" s="448">
        <f t="shared" si="23"/>
        <v>0</v>
      </c>
      <c r="O98" s="448">
        <f t="shared" si="23"/>
        <v>0</v>
      </c>
      <c r="P98" s="448">
        <f t="shared" si="23"/>
        <v>0</v>
      </c>
      <c r="Q98" s="448">
        <f t="shared" si="23"/>
        <v>0</v>
      </c>
      <c r="R98" s="448">
        <f t="shared" si="23"/>
        <v>0</v>
      </c>
      <c r="S98" s="448">
        <f t="shared" si="23"/>
        <v>0</v>
      </c>
      <c r="T98" s="448">
        <f t="shared" si="23"/>
        <v>0</v>
      </c>
      <c r="U98" s="448">
        <f t="shared" si="23"/>
        <v>0</v>
      </c>
      <c r="V98" s="448">
        <f t="shared" si="23"/>
        <v>0</v>
      </c>
    </row>
    <row r="99" spans="1:22" s="441" customFormat="1" ht="45">
      <c r="A99" s="570"/>
      <c r="B99" s="570"/>
      <c r="C99" s="589">
        <v>3020</v>
      </c>
      <c r="D99" s="450" t="s">
        <v>386</v>
      </c>
      <c r="E99" s="502">
        <f t="shared" si="18"/>
        <v>0</v>
      </c>
      <c r="F99" s="445">
        <f t="shared" si="19"/>
        <v>0</v>
      </c>
      <c r="G99" s="445">
        <f t="shared" si="20"/>
        <v>0</v>
      </c>
      <c r="H99" s="451"/>
      <c r="I99" s="445">
        <f t="shared" si="21"/>
        <v>0</v>
      </c>
      <c r="J99" s="451"/>
      <c r="K99" s="451"/>
      <c r="L99" s="451"/>
      <c r="M99" s="451"/>
      <c r="N99" s="451"/>
      <c r="O99" s="451"/>
      <c r="P99" s="451"/>
      <c r="Q99" s="451"/>
      <c r="R99" s="451"/>
      <c r="S99" s="445">
        <f t="shared" si="22"/>
        <v>0</v>
      </c>
      <c r="T99" s="451"/>
      <c r="U99" s="451"/>
      <c r="V99" s="451"/>
    </row>
    <row r="100" spans="1:22" s="441" customFormat="1" ht="30">
      <c r="A100" s="570"/>
      <c r="B100" s="570"/>
      <c r="C100" s="408">
        <v>4010</v>
      </c>
      <c r="D100" s="450" t="s">
        <v>102</v>
      </c>
      <c r="E100" s="502">
        <f t="shared" si="18"/>
        <v>670</v>
      </c>
      <c r="F100" s="445">
        <f t="shared" si="19"/>
        <v>670</v>
      </c>
      <c r="G100" s="445">
        <f t="shared" si="20"/>
        <v>670</v>
      </c>
      <c r="H100" s="451"/>
      <c r="I100" s="445">
        <f t="shared" si="21"/>
        <v>670</v>
      </c>
      <c r="J100" s="451">
        <v>670</v>
      </c>
      <c r="K100" s="451"/>
      <c r="L100" s="451"/>
      <c r="M100" s="451"/>
      <c r="N100" s="451"/>
      <c r="O100" s="451"/>
      <c r="P100" s="451"/>
      <c r="Q100" s="451"/>
      <c r="R100" s="451"/>
      <c r="S100" s="445">
        <f t="shared" si="22"/>
        <v>0</v>
      </c>
      <c r="T100" s="451"/>
      <c r="U100" s="451"/>
      <c r="V100" s="451"/>
    </row>
    <row r="101" spans="1:22" s="441" customFormat="1" ht="45">
      <c r="A101" s="570"/>
      <c r="B101" s="570"/>
      <c r="C101" s="408">
        <v>4020</v>
      </c>
      <c r="D101" s="450" t="s">
        <v>452</v>
      </c>
      <c r="E101" s="502">
        <f t="shared" si="18"/>
        <v>4244</v>
      </c>
      <c r="F101" s="445">
        <f t="shared" si="19"/>
        <v>4244</v>
      </c>
      <c r="G101" s="445">
        <f t="shared" si="20"/>
        <v>4244</v>
      </c>
      <c r="H101" s="451"/>
      <c r="I101" s="445">
        <f t="shared" si="21"/>
        <v>4244</v>
      </c>
      <c r="J101" s="451">
        <v>4244</v>
      </c>
      <c r="K101" s="451"/>
      <c r="L101" s="451"/>
      <c r="M101" s="451"/>
      <c r="N101" s="451"/>
      <c r="O101" s="451"/>
      <c r="P101" s="451"/>
      <c r="Q101" s="451"/>
      <c r="R101" s="451"/>
      <c r="S101" s="445">
        <f t="shared" si="22"/>
        <v>0</v>
      </c>
      <c r="T101" s="451"/>
      <c r="U101" s="451"/>
      <c r="V101" s="451"/>
    </row>
    <row r="102" spans="1:22" s="441" customFormat="1" ht="30">
      <c r="A102" s="570"/>
      <c r="B102" s="570"/>
      <c r="C102" s="589">
        <v>4040</v>
      </c>
      <c r="D102" s="450" t="s">
        <v>103</v>
      </c>
      <c r="E102" s="502">
        <f t="shared" si="18"/>
        <v>0</v>
      </c>
      <c r="F102" s="445">
        <f t="shared" si="19"/>
        <v>0</v>
      </c>
      <c r="G102" s="445">
        <f t="shared" si="20"/>
        <v>0</v>
      </c>
      <c r="H102" s="451"/>
      <c r="I102" s="445">
        <f t="shared" si="21"/>
        <v>0</v>
      </c>
      <c r="J102" s="451"/>
      <c r="K102" s="451"/>
      <c r="L102" s="451"/>
      <c r="M102" s="451"/>
      <c r="N102" s="451"/>
      <c r="O102" s="451"/>
      <c r="P102" s="451"/>
      <c r="Q102" s="451"/>
      <c r="R102" s="451"/>
      <c r="S102" s="445">
        <f t="shared" si="22"/>
        <v>0</v>
      </c>
      <c r="T102" s="451"/>
      <c r="U102" s="451"/>
      <c r="V102" s="451"/>
    </row>
    <row r="103" spans="1:22" s="441" customFormat="1" ht="45">
      <c r="A103" s="570"/>
      <c r="B103" s="570"/>
      <c r="C103" s="589">
        <v>4110</v>
      </c>
      <c r="D103" s="450" t="s">
        <v>104</v>
      </c>
      <c r="E103" s="502">
        <f t="shared" si="18"/>
        <v>783</v>
      </c>
      <c r="F103" s="445">
        <f t="shared" si="19"/>
        <v>783</v>
      </c>
      <c r="G103" s="445">
        <f t="shared" si="20"/>
        <v>783</v>
      </c>
      <c r="H103" s="451"/>
      <c r="I103" s="445">
        <f t="shared" si="21"/>
        <v>783</v>
      </c>
      <c r="J103" s="451"/>
      <c r="K103" s="451"/>
      <c r="L103" s="451">
        <v>783</v>
      </c>
      <c r="M103" s="451"/>
      <c r="N103" s="451"/>
      <c r="O103" s="451"/>
      <c r="P103" s="451"/>
      <c r="Q103" s="451"/>
      <c r="R103" s="451"/>
      <c r="S103" s="445">
        <f t="shared" si="22"/>
        <v>0</v>
      </c>
      <c r="T103" s="451"/>
      <c r="U103" s="451"/>
      <c r="V103" s="451"/>
    </row>
    <row r="104" spans="1:22" s="441" customFormat="1" ht="30">
      <c r="A104" s="570"/>
      <c r="B104" s="570"/>
      <c r="C104" s="589">
        <v>4120</v>
      </c>
      <c r="D104" s="450" t="s">
        <v>105</v>
      </c>
      <c r="E104" s="502">
        <f>F104+S104</f>
        <v>85</v>
      </c>
      <c r="F104" s="445">
        <f t="shared" si="19"/>
        <v>85</v>
      </c>
      <c r="G104" s="445">
        <f t="shared" si="20"/>
        <v>85</v>
      </c>
      <c r="H104" s="451"/>
      <c r="I104" s="445">
        <f t="shared" si="21"/>
        <v>85</v>
      </c>
      <c r="J104" s="451"/>
      <c r="K104" s="451"/>
      <c r="L104" s="451">
        <v>85</v>
      </c>
      <c r="M104" s="451"/>
      <c r="N104" s="451"/>
      <c r="O104" s="451"/>
      <c r="P104" s="451"/>
      <c r="Q104" s="451"/>
      <c r="R104" s="451"/>
      <c r="S104" s="445">
        <f t="shared" si="22"/>
        <v>0</v>
      </c>
      <c r="T104" s="451"/>
      <c r="U104" s="451"/>
      <c r="V104" s="451"/>
    </row>
    <row r="105" spans="1:22" s="441" customFormat="1" ht="24">
      <c r="A105" s="574"/>
      <c r="B105" s="570"/>
      <c r="C105" s="594">
        <v>4210</v>
      </c>
      <c r="D105" s="608" t="s">
        <v>107</v>
      </c>
      <c r="E105" s="502">
        <f>F105+S105</f>
        <v>3075</v>
      </c>
      <c r="F105" s="445">
        <f>G105+N105+O105+P105+Q105+R105</f>
        <v>3075</v>
      </c>
      <c r="G105" s="445">
        <f>H105+I105</f>
        <v>3075</v>
      </c>
      <c r="H105" s="451">
        <v>3075</v>
      </c>
      <c r="I105" s="445">
        <f>SUM(J105:M105)</f>
        <v>0</v>
      </c>
      <c r="J105" s="451"/>
      <c r="K105" s="451"/>
      <c r="L105" s="451"/>
      <c r="M105" s="451"/>
      <c r="N105" s="451"/>
      <c r="O105" s="451"/>
      <c r="P105" s="451"/>
      <c r="Q105" s="451"/>
      <c r="R105" s="451"/>
      <c r="S105" s="445">
        <f>T105+V105</f>
        <v>0</v>
      </c>
      <c r="T105" s="451"/>
      <c r="U105" s="451"/>
      <c r="V105" s="451"/>
    </row>
    <row r="106" spans="1:22" s="441" customFormat="1" ht="15.75">
      <c r="A106" s="574"/>
      <c r="B106" s="570"/>
      <c r="C106" s="594">
        <v>4300</v>
      </c>
      <c r="D106" s="608" t="s">
        <v>198</v>
      </c>
      <c r="E106" s="502">
        <f>F106+S106</f>
        <v>900</v>
      </c>
      <c r="F106" s="445">
        <f>G106+N106+O106+P106+Q106+R106</f>
        <v>900</v>
      </c>
      <c r="G106" s="445">
        <f>H106+I106</f>
        <v>900</v>
      </c>
      <c r="H106" s="451">
        <v>900</v>
      </c>
      <c r="I106" s="445">
        <f>SUM(J106:M106)</f>
        <v>0</v>
      </c>
      <c r="J106" s="451"/>
      <c r="K106" s="451"/>
      <c r="L106" s="451"/>
      <c r="M106" s="451"/>
      <c r="N106" s="451"/>
      <c r="O106" s="451"/>
      <c r="P106" s="451"/>
      <c r="Q106" s="451"/>
      <c r="R106" s="451"/>
      <c r="S106" s="445">
        <f>T106+V106</f>
        <v>0</v>
      </c>
      <c r="T106" s="451"/>
      <c r="U106" s="451"/>
      <c r="V106" s="451"/>
    </row>
    <row r="107" spans="1:22" s="441" customFormat="1" ht="48">
      <c r="A107" s="574"/>
      <c r="B107" s="570"/>
      <c r="C107" s="594">
        <v>4740</v>
      </c>
      <c r="D107" s="608" t="s">
        <v>199</v>
      </c>
      <c r="E107" s="502">
        <f>F107+S107</f>
        <v>243</v>
      </c>
      <c r="F107" s="445">
        <f>G107+N107+O107+P107+Q107+R107</f>
        <v>243</v>
      </c>
      <c r="G107" s="445">
        <f>H107+I107</f>
        <v>243</v>
      </c>
      <c r="H107" s="451">
        <v>243</v>
      </c>
      <c r="I107" s="445">
        <f>SUM(J107:M107)</f>
        <v>0</v>
      </c>
      <c r="J107" s="451"/>
      <c r="K107" s="451"/>
      <c r="L107" s="451"/>
      <c r="M107" s="451"/>
      <c r="N107" s="451"/>
      <c r="O107" s="451"/>
      <c r="P107" s="451"/>
      <c r="Q107" s="451"/>
      <c r="R107" s="451"/>
      <c r="S107" s="445">
        <f>T107+V107</f>
        <v>0</v>
      </c>
      <c r="T107" s="451"/>
      <c r="U107" s="451"/>
      <c r="V107" s="451"/>
    </row>
    <row r="108" spans="1:22" s="449" customFormat="1" ht="15.75">
      <c r="A108" s="571"/>
      <c r="B108" s="571">
        <v>71095</v>
      </c>
      <c r="C108" s="588"/>
      <c r="D108" s="262" t="s">
        <v>201</v>
      </c>
      <c r="E108" s="502">
        <f t="shared" si="18"/>
        <v>4000</v>
      </c>
      <c r="F108" s="445">
        <f t="shared" si="19"/>
        <v>4000</v>
      </c>
      <c r="G108" s="445">
        <f t="shared" si="20"/>
        <v>4000</v>
      </c>
      <c r="H108" s="448">
        <f aca="true" t="shared" si="24" ref="H108:V108">SUM(H109:H109)</f>
        <v>4000</v>
      </c>
      <c r="I108" s="445">
        <f t="shared" si="21"/>
        <v>0</v>
      </c>
      <c r="J108" s="448">
        <f>SUM(J109:J109)</f>
        <v>0</v>
      </c>
      <c r="K108" s="448">
        <f t="shared" si="24"/>
        <v>0</v>
      </c>
      <c r="L108" s="448">
        <f t="shared" si="24"/>
        <v>0</v>
      </c>
      <c r="M108" s="448">
        <f t="shared" si="24"/>
        <v>0</v>
      </c>
      <c r="N108" s="448">
        <f t="shared" si="24"/>
        <v>0</v>
      </c>
      <c r="O108" s="448">
        <f t="shared" si="24"/>
        <v>0</v>
      </c>
      <c r="P108" s="448">
        <f t="shared" si="24"/>
        <v>0</v>
      </c>
      <c r="Q108" s="448">
        <f t="shared" si="24"/>
        <v>0</v>
      </c>
      <c r="R108" s="448">
        <f t="shared" si="24"/>
        <v>0</v>
      </c>
      <c r="S108" s="445">
        <f t="shared" si="22"/>
        <v>0</v>
      </c>
      <c r="T108" s="448">
        <f t="shared" si="24"/>
        <v>0</v>
      </c>
      <c r="U108" s="448">
        <f t="shared" si="24"/>
        <v>0</v>
      </c>
      <c r="V108" s="448">
        <f t="shared" si="24"/>
        <v>0</v>
      </c>
    </row>
    <row r="109" spans="1:22" s="441" customFormat="1" ht="30">
      <c r="A109" s="572"/>
      <c r="B109" s="572"/>
      <c r="C109" s="589">
        <v>4300</v>
      </c>
      <c r="D109" s="450" t="s">
        <v>90</v>
      </c>
      <c r="E109" s="502">
        <f t="shared" si="18"/>
        <v>4000</v>
      </c>
      <c r="F109" s="445">
        <f t="shared" si="19"/>
        <v>4000</v>
      </c>
      <c r="G109" s="445">
        <f t="shared" si="20"/>
        <v>4000</v>
      </c>
      <c r="H109" s="451">
        <v>4000</v>
      </c>
      <c r="I109" s="445">
        <f t="shared" si="21"/>
        <v>0</v>
      </c>
      <c r="J109" s="451"/>
      <c r="K109" s="451"/>
      <c r="L109" s="451"/>
      <c r="M109" s="451"/>
      <c r="N109" s="451"/>
      <c r="O109" s="451"/>
      <c r="P109" s="451"/>
      <c r="Q109" s="451"/>
      <c r="R109" s="451"/>
      <c r="S109" s="445">
        <f t="shared" si="22"/>
        <v>0</v>
      </c>
      <c r="T109" s="451"/>
      <c r="U109" s="451"/>
      <c r="V109" s="451"/>
    </row>
    <row r="110" spans="1:22" s="446" customFormat="1" ht="31.5">
      <c r="A110" s="575">
        <v>750</v>
      </c>
      <c r="B110" s="575"/>
      <c r="C110" s="591"/>
      <c r="D110" s="455" t="s">
        <v>202</v>
      </c>
      <c r="E110" s="502">
        <f t="shared" si="18"/>
        <v>8508640</v>
      </c>
      <c r="F110" s="445">
        <f t="shared" si="19"/>
        <v>8312140</v>
      </c>
      <c r="G110" s="445">
        <f t="shared" si="20"/>
        <v>7922470</v>
      </c>
      <c r="H110" s="445">
        <f>SUM(H114+H132+H142+H174+H189+H111)</f>
        <v>3028201</v>
      </c>
      <c r="I110" s="445">
        <f t="shared" si="21"/>
        <v>4894269</v>
      </c>
      <c r="J110" s="445">
        <f aca="true" t="shared" si="25" ref="J110:R110">SUM(J114+J132+J142+J174+J189+J111)</f>
        <v>3906603</v>
      </c>
      <c r="K110" s="445">
        <f t="shared" si="25"/>
        <v>282000</v>
      </c>
      <c r="L110" s="445">
        <f t="shared" si="25"/>
        <v>678086</v>
      </c>
      <c r="M110" s="445">
        <f t="shared" si="25"/>
        <v>27580</v>
      </c>
      <c r="N110" s="445">
        <f t="shared" si="25"/>
        <v>389670</v>
      </c>
      <c r="O110" s="445">
        <f t="shared" si="25"/>
        <v>0</v>
      </c>
      <c r="P110" s="445">
        <f>SUM(P114+P132+P142+P174+P189+P111)</f>
        <v>0</v>
      </c>
      <c r="Q110" s="445">
        <f t="shared" si="25"/>
        <v>0</v>
      </c>
      <c r="R110" s="445">
        <f t="shared" si="25"/>
        <v>0</v>
      </c>
      <c r="S110" s="445">
        <f t="shared" si="22"/>
        <v>196500</v>
      </c>
      <c r="T110" s="445">
        <f>SUM(T114+T132+T142+T174+T189+T111)</f>
        <v>196500</v>
      </c>
      <c r="U110" s="445">
        <f>SUM(U114+U132+U142+U174+U189+U111)</f>
        <v>0</v>
      </c>
      <c r="V110" s="445">
        <f>SUM(V114+V132+V142+V174+V189+V111)</f>
        <v>0</v>
      </c>
    </row>
    <row r="111" spans="1:22" s="449" customFormat="1" ht="48" customHeight="1">
      <c r="A111" s="576"/>
      <c r="B111" s="576">
        <v>75001</v>
      </c>
      <c r="C111" s="592"/>
      <c r="D111" s="456" t="s">
        <v>802</v>
      </c>
      <c r="E111" s="502">
        <f t="shared" si="18"/>
        <v>0</v>
      </c>
      <c r="F111" s="445">
        <f t="shared" si="19"/>
        <v>0</v>
      </c>
      <c r="G111" s="445">
        <f t="shared" si="20"/>
        <v>0</v>
      </c>
      <c r="H111" s="448">
        <f>SUM(H112:H113)</f>
        <v>0</v>
      </c>
      <c r="I111" s="445">
        <f t="shared" si="21"/>
        <v>0</v>
      </c>
      <c r="J111" s="448">
        <f>SUM(J112:J113)</f>
        <v>0</v>
      </c>
      <c r="K111" s="448">
        <f aca="true" t="shared" si="26" ref="K111:R111">SUM(K112:K113)</f>
        <v>0</v>
      </c>
      <c r="L111" s="448">
        <f t="shared" si="26"/>
        <v>0</v>
      </c>
      <c r="M111" s="448"/>
      <c r="N111" s="448"/>
      <c r="O111" s="448">
        <f t="shared" si="26"/>
        <v>0</v>
      </c>
      <c r="P111" s="448">
        <f>SUM(P112:P113)</f>
        <v>0</v>
      </c>
      <c r="Q111" s="448">
        <f t="shared" si="26"/>
        <v>0</v>
      </c>
      <c r="R111" s="448">
        <f t="shared" si="26"/>
        <v>0</v>
      </c>
      <c r="S111" s="445">
        <f t="shared" si="22"/>
        <v>0</v>
      </c>
      <c r="T111" s="448">
        <f>SUM(T112:T113)</f>
        <v>0</v>
      </c>
      <c r="U111" s="448">
        <f>SUM(U112:U113)</f>
        <v>0</v>
      </c>
      <c r="V111" s="448">
        <f>SUM(V112:V113)</f>
        <v>0</v>
      </c>
    </row>
    <row r="112" spans="1:22" s="441" customFormat="1" ht="120" customHeight="1">
      <c r="A112" s="570"/>
      <c r="B112" s="570"/>
      <c r="C112" s="589">
        <v>2320</v>
      </c>
      <c r="D112" s="450" t="s">
        <v>264</v>
      </c>
      <c r="E112" s="502">
        <f t="shared" si="18"/>
        <v>0</v>
      </c>
      <c r="F112" s="445">
        <f t="shared" si="19"/>
        <v>0</v>
      </c>
      <c r="G112" s="445">
        <f t="shared" si="20"/>
        <v>0</v>
      </c>
      <c r="H112" s="451"/>
      <c r="I112" s="445">
        <f t="shared" si="21"/>
        <v>0</v>
      </c>
      <c r="J112" s="451"/>
      <c r="K112" s="451"/>
      <c r="L112" s="451"/>
      <c r="M112" s="451"/>
      <c r="N112" s="451"/>
      <c r="O112" s="451"/>
      <c r="P112" s="451"/>
      <c r="Q112" s="451"/>
      <c r="R112" s="451"/>
      <c r="S112" s="445">
        <f t="shared" si="22"/>
        <v>0</v>
      </c>
      <c r="T112" s="451"/>
      <c r="U112" s="451"/>
      <c r="V112" s="451"/>
    </row>
    <row r="113" spans="1:22" s="441" customFormat="1" ht="30" customHeight="1">
      <c r="A113" s="572"/>
      <c r="B113" s="572"/>
      <c r="C113" s="589">
        <v>4309</v>
      </c>
      <c r="D113" s="450" t="s">
        <v>90</v>
      </c>
      <c r="E113" s="502">
        <f t="shared" si="18"/>
        <v>0</v>
      </c>
      <c r="F113" s="445">
        <f t="shared" si="19"/>
        <v>0</v>
      </c>
      <c r="G113" s="445">
        <f t="shared" si="20"/>
        <v>0</v>
      </c>
      <c r="H113" s="451"/>
      <c r="I113" s="445">
        <f t="shared" si="21"/>
        <v>0</v>
      </c>
      <c r="J113" s="451"/>
      <c r="K113" s="451"/>
      <c r="L113" s="451"/>
      <c r="M113" s="451"/>
      <c r="N113" s="451"/>
      <c r="O113" s="451"/>
      <c r="P113" s="451"/>
      <c r="Q113" s="451"/>
      <c r="R113" s="451"/>
      <c r="S113" s="445">
        <f t="shared" si="22"/>
        <v>0</v>
      </c>
      <c r="T113" s="451"/>
      <c r="U113" s="451"/>
      <c r="V113" s="451"/>
    </row>
    <row r="114" spans="1:22" s="449" customFormat="1" ht="15.75">
      <c r="A114" s="576"/>
      <c r="B114" s="576">
        <v>75011</v>
      </c>
      <c r="C114" s="592"/>
      <c r="D114" s="456" t="s">
        <v>203</v>
      </c>
      <c r="E114" s="502">
        <f t="shared" si="18"/>
        <v>579796</v>
      </c>
      <c r="F114" s="445">
        <f t="shared" si="19"/>
        <v>579796</v>
      </c>
      <c r="G114" s="445">
        <f t="shared" si="20"/>
        <v>579796</v>
      </c>
      <c r="H114" s="448">
        <f>SUM(H115:H131)</f>
        <v>16506</v>
      </c>
      <c r="I114" s="445">
        <f t="shared" si="21"/>
        <v>563290</v>
      </c>
      <c r="J114" s="448">
        <f aca="true" t="shared" si="27" ref="J114:R114">SUM(J115:J131)</f>
        <v>441386</v>
      </c>
      <c r="K114" s="448">
        <f t="shared" si="27"/>
        <v>33000</v>
      </c>
      <c r="L114" s="448">
        <f t="shared" si="27"/>
        <v>83204</v>
      </c>
      <c r="M114" s="448">
        <f t="shared" si="27"/>
        <v>5700</v>
      </c>
      <c r="N114" s="448">
        <f t="shared" si="27"/>
        <v>0</v>
      </c>
      <c r="O114" s="448">
        <f t="shared" si="27"/>
        <v>0</v>
      </c>
      <c r="P114" s="448">
        <f>SUM(P115:P131)</f>
        <v>0</v>
      </c>
      <c r="Q114" s="448">
        <f t="shared" si="27"/>
        <v>0</v>
      </c>
      <c r="R114" s="448">
        <f t="shared" si="27"/>
        <v>0</v>
      </c>
      <c r="S114" s="445">
        <f t="shared" si="22"/>
        <v>0</v>
      </c>
      <c r="T114" s="448">
        <f>SUM(T115:T131)</f>
        <v>0</v>
      </c>
      <c r="U114" s="448">
        <f>SUM(U115:U131)</f>
        <v>0</v>
      </c>
      <c r="V114" s="448">
        <f>SUM(V115:V131)</f>
        <v>0</v>
      </c>
    </row>
    <row r="115" spans="1:22" s="441" customFormat="1" ht="45" customHeight="1">
      <c r="A115" s="570"/>
      <c r="B115" s="570"/>
      <c r="C115" s="589">
        <v>3020</v>
      </c>
      <c r="D115" s="450" t="s">
        <v>386</v>
      </c>
      <c r="E115" s="502">
        <f t="shared" si="18"/>
        <v>0</v>
      </c>
      <c r="F115" s="445">
        <f t="shared" si="19"/>
        <v>0</v>
      </c>
      <c r="G115" s="445">
        <f t="shared" si="20"/>
        <v>0</v>
      </c>
      <c r="H115" s="451"/>
      <c r="I115" s="445">
        <f t="shared" si="21"/>
        <v>0</v>
      </c>
      <c r="J115" s="451"/>
      <c r="K115" s="451"/>
      <c r="L115" s="451"/>
      <c r="M115" s="451"/>
      <c r="N115" s="451"/>
      <c r="O115" s="451"/>
      <c r="P115" s="451"/>
      <c r="Q115" s="451"/>
      <c r="R115" s="451"/>
      <c r="S115" s="445">
        <f t="shared" si="22"/>
        <v>0</v>
      </c>
      <c r="T115" s="451"/>
      <c r="U115" s="451"/>
      <c r="V115" s="451"/>
    </row>
    <row r="116" spans="1:22" s="441" customFormat="1" ht="30">
      <c r="A116" s="570"/>
      <c r="B116" s="570"/>
      <c r="C116" s="408">
        <v>4010</v>
      </c>
      <c r="D116" s="450" t="s">
        <v>102</v>
      </c>
      <c r="E116" s="502">
        <f t="shared" si="18"/>
        <v>441386</v>
      </c>
      <c r="F116" s="445">
        <f t="shared" si="19"/>
        <v>441386</v>
      </c>
      <c r="G116" s="445">
        <f t="shared" si="20"/>
        <v>441386</v>
      </c>
      <c r="H116" s="451"/>
      <c r="I116" s="445">
        <f t="shared" si="21"/>
        <v>441386</v>
      </c>
      <c r="J116" s="451">
        <v>441386</v>
      </c>
      <c r="K116" s="451"/>
      <c r="L116" s="451"/>
      <c r="M116" s="451"/>
      <c r="N116" s="451"/>
      <c r="O116" s="451"/>
      <c r="P116" s="451"/>
      <c r="Q116" s="451"/>
      <c r="R116" s="451"/>
      <c r="S116" s="445">
        <f t="shared" si="22"/>
        <v>0</v>
      </c>
      <c r="T116" s="451"/>
      <c r="U116" s="451"/>
      <c r="V116" s="451"/>
    </row>
    <row r="117" spans="1:22" s="441" customFormat="1" ht="33" customHeight="1">
      <c r="A117" s="574"/>
      <c r="B117" s="570"/>
      <c r="C117" s="589">
        <v>4170</v>
      </c>
      <c r="D117" s="450" t="s">
        <v>196</v>
      </c>
      <c r="E117" s="502">
        <f t="shared" si="18"/>
        <v>0</v>
      </c>
      <c r="F117" s="445">
        <f t="shared" si="19"/>
        <v>0</v>
      </c>
      <c r="G117" s="445">
        <f t="shared" si="20"/>
        <v>0</v>
      </c>
      <c r="H117" s="451"/>
      <c r="I117" s="445">
        <f t="shared" si="21"/>
        <v>0</v>
      </c>
      <c r="J117" s="451"/>
      <c r="K117" s="451"/>
      <c r="L117" s="451"/>
      <c r="M117" s="451"/>
      <c r="N117" s="451"/>
      <c r="O117" s="451"/>
      <c r="P117" s="451"/>
      <c r="Q117" s="451"/>
      <c r="R117" s="451"/>
      <c r="S117" s="445">
        <f t="shared" si="22"/>
        <v>0</v>
      </c>
      <c r="T117" s="451"/>
      <c r="U117" s="451"/>
      <c r="V117" s="451"/>
    </row>
    <row r="118" spans="1:22" s="441" customFormat="1" ht="30">
      <c r="A118" s="570"/>
      <c r="B118" s="570"/>
      <c r="C118" s="589">
        <v>4040</v>
      </c>
      <c r="D118" s="450" t="s">
        <v>103</v>
      </c>
      <c r="E118" s="502">
        <f t="shared" si="18"/>
        <v>33000</v>
      </c>
      <c r="F118" s="445">
        <f t="shared" si="19"/>
        <v>33000</v>
      </c>
      <c r="G118" s="445">
        <f t="shared" si="20"/>
        <v>33000</v>
      </c>
      <c r="H118" s="451"/>
      <c r="I118" s="445">
        <f t="shared" si="21"/>
        <v>33000</v>
      </c>
      <c r="J118" s="451"/>
      <c r="K118" s="451">
        <v>33000</v>
      </c>
      <c r="L118" s="451"/>
      <c r="M118" s="451"/>
      <c r="N118" s="451"/>
      <c r="O118" s="451"/>
      <c r="P118" s="451"/>
      <c r="Q118" s="451"/>
      <c r="R118" s="451"/>
      <c r="S118" s="445">
        <f t="shared" si="22"/>
        <v>0</v>
      </c>
      <c r="T118" s="451"/>
      <c r="U118" s="451"/>
      <c r="V118" s="451"/>
    </row>
    <row r="119" spans="1:22" s="441" customFormat="1" ht="45">
      <c r="A119" s="570"/>
      <c r="B119" s="570"/>
      <c r="C119" s="589">
        <v>4110</v>
      </c>
      <c r="D119" s="450" t="s">
        <v>104</v>
      </c>
      <c r="E119" s="502">
        <f t="shared" si="18"/>
        <v>71448</v>
      </c>
      <c r="F119" s="445">
        <f t="shared" si="19"/>
        <v>71448</v>
      </c>
      <c r="G119" s="445">
        <f t="shared" si="20"/>
        <v>71448</v>
      </c>
      <c r="H119" s="451"/>
      <c r="I119" s="445">
        <f t="shared" si="21"/>
        <v>71448</v>
      </c>
      <c r="J119" s="451"/>
      <c r="K119" s="451"/>
      <c r="L119" s="451">
        <v>71448</v>
      </c>
      <c r="M119" s="451"/>
      <c r="N119" s="451"/>
      <c r="O119" s="451"/>
      <c r="P119" s="451"/>
      <c r="Q119" s="451"/>
      <c r="R119" s="451"/>
      <c r="S119" s="445">
        <f t="shared" si="22"/>
        <v>0</v>
      </c>
      <c r="T119" s="451"/>
      <c r="U119" s="451"/>
      <c r="V119" s="451"/>
    </row>
    <row r="120" spans="1:22" s="441" customFormat="1" ht="30">
      <c r="A120" s="570"/>
      <c r="B120" s="570"/>
      <c r="C120" s="589">
        <v>4120</v>
      </c>
      <c r="D120" s="450" t="s">
        <v>105</v>
      </c>
      <c r="E120" s="502">
        <f t="shared" si="18"/>
        <v>11756</v>
      </c>
      <c r="F120" s="445">
        <f t="shared" si="19"/>
        <v>11756</v>
      </c>
      <c r="G120" s="445">
        <f t="shared" si="20"/>
        <v>11756</v>
      </c>
      <c r="H120" s="451"/>
      <c r="I120" s="445">
        <f t="shared" si="21"/>
        <v>11756</v>
      </c>
      <c r="J120" s="451"/>
      <c r="K120" s="451"/>
      <c r="L120" s="451">
        <v>11756</v>
      </c>
      <c r="M120" s="451"/>
      <c r="N120" s="451"/>
      <c r="O120" s="451"/>
      <c r="P120" s="451"/>
      <c r="Q120" s="451"/>
      <c r="R120" s="451"/>
      <c r="S120" s="445">
        <f t="shared" si="22"/>
        <v>0</v>
      </c>
      <c r="T120" s="451"/>
      <c r="U120" s="451"/>
      <c r="V120" s="451"/>
    </row>
    <row r="121" spans="1:22" s="441" customFormat="1" ht="30">
      <c r="A121" s="574"/>
      <c r="B121" s="570"/>
      <c r="C121" s="589">
        <v>4170</v>
      </c>
      <c r="D121" s="450" t="s">
        <v>196</v>
      </c>
      <c r="E121" s="502">
        <f t="shared" si="18"/>
        <v>5700</v>
      </c>
      <c r="F121" s="445">
        <f t="shared" si="19"/>
        <v>5700</v>
      </c>
      <c r="G121" s="445">
        <f t="shared" si="20"/>
        <v>5700</v>
      </c>
      <c r="H121" s="451"/>
      <c r="I121" s="445">
        <f t="shared" si="21"/>
        <v>5700</v>
      </c>
      <c r="J121" s="451"/>
      <c r="K121" s="451"/>
      <c r="L121" s="451"/>
      <c r="M121" s="451">
        <v>5700</v>
      </c>
      <c r="N121" s="451"/>
      <c r="O121" s="451"/>
      <c r="P121" s="451"/>
      <c r="Q121" s="451"/>
      <c r="R121" s="451"/>
      <c r="S121" s="445">
        <f t="shared" si="22"/>
        <v>0</v>
      </c>
      <c r="T121" s="451"/>
      <c r="U121" s="451"/>
      <c r="V121" s="451"/>
    </row>
    <row r="122" spans="1:22" s="441" customFormat="1" ht="15.75" customHeight="1">
      <c r="A122" s="570"/>
      <c r="B122" s="570"/>
      <c r="C122" s="589">
        <v>4280</v>
      </c>
      <c r="D122" s="450" t="s">
        <v>204</v>
      </c>
      <c r="E122" s="502">
        <f t="shared" si="18"/>
        <v>0</v>
      </c>
      <c r="F122" s="445">
        <f t="shared" si="19"/>
        <v>0</v>
      </c>
      <c r="G122" s="445">
        <f t="shared" si="20"/>
        <v>0</v>
      </c>
      <c r="H122" s="451"/>
      <c r="I122" s="445">
        <f t="shared" si="21"/>
        <v>0</v>
      </c>
      <c r="J122" s="451"/>
      <c r="K122" s="451"/>
      <c r="L122" s="451"/>
      <c r="M122" s="451"/>
      <c r="N122" s="451"/>
      <c r="O122" s="451"/>
      <c r="P122" s="451"/>
      <c r="Q122" s="451"/>
      <c r="R122" s="451"/>
      <c r="S122" s="445">
        <f t="shared" si="22"/>
        <v>0</v>
      </c>
      <c r="T122" s="451"/>
      <c r="U122" s="451"/>
      <c r="V122" s="451"/>
    </row>
    <row r="123" spans="1:22" s="441" customFormat="1" ht="15.75" customHeight="1">
      <c r="A123" s="570"/>
      <c r="B123" s="570"/>
      <c r="C123" s="589">
        <v>4300</v>
      </c>
      <c r="D123" s="450" t="s">
        <v>198</v>
      </c>
      <c r="E123" s="502">
        <f t="shared" si="18"/>
        <v>0</v>
      </c>
      <c r="F123" s="445">
        <f t="shared" si="19"/>
        <v>0</v>
      </c>
      <c r="G123" s="445">
        <f t="shared" si="20"/>
        <v>0</v>
      </c>
      <c r="H123" s="451"/>
      <c r="I123" s="445">
        <f t="shared" si="21"/>
        <v>0</v>
      </c>
      <c r="J123" s="451"/>
      <c r="K123" s="451"/>
      <c r="L123" s="451"/>
      <c r="M123" s="451"/>
      <c r="N123" s="451"/>
      <c r="O123" s="451"/>
      <c r="P123" s="451"/>
      <c r="Q123" s="451"/>
      <c r="R123" s="451"/>
      <c r="S123" s="445">
        <f t="shared" si="22"/>
        <v>0</v>
      </c>
      <c r="T123" s="451"/>
      <c r="U123" s="451"/>
      <c r="V123" s="451"/>
    </row>
    <row r="124" spans="1:22" s="441" customFormat="1" ht="30" customHeight="1">
      <c r="A124" s="570"/>
      <c r="B124" s="570"/>
      <c r="C124" s="589">
        <v>4410</v>
      </c>
      <c r="D124" s="450" t="s">
        <v>115</v>
      </c>
      <c r="E124" s="502">
        <f t="shared" si="18"/>
        <v>0</v>
      </c>
      <c r="F124" s="445">
        <f t="shared" si="19"/>
        <v>0</v>
      </c>
      <c r="G124" s="445">
        <f t="shared" si="20"/>
        <v>0</v>
      </c>
      <c r="H124" s="451"/>
      <c r="I124" s="445">
        <f t="shared" si="21"/>
        <v>0</v>
      </c>
      <c r="J124" s="451"/>
      <c r="K124" s="451"/>
      <c r="L124" s="451"/>
      <c r="M124" s="451"/>
      <c r="N124" s="451"/>
      <c r="O124" s="451"/>
      <c r="P124" s="451"/>
      <c r="Q124" s="451"/>
      <c r="R124" s="451"/>
      <c r="S124" s="445">
        <f t="shared" si="22"/>
        <v>0</v>
      </c>
      <c r="T124" s="451"/>
      <c r="U124" s="451"/>
      <c r="V124" s="451"/>
    </row>
    <row r="125" spans="1:22" s="441" customFormat="1" ht="45">
      <c r="A125" s="570"/>
      <c r="B125" s="570"/>
      <c r="C125" s="589">
        <v>4440</v>
      </c>
      <c r="D125" s="450" t="s">
        <v>117</v>
      </c>
      <c r="E125" s="502">
        <f t="shared" si="18"/>
        <v>11526</v>
      </c>
      <c r="F125" s="445">
        <f t="shared" si="19"/>
        <v>11526</v>
      </c>
      <c r="G125" s="445">
        <f t="shared" si="20"/>
        <v>11526</v>
      </c>
      <c r="H125" s="451">
        <v>11526</v>
      </c>
      <c r="I125" s="445">
        <f t="shared" si="21"/>
        <v>0</v>
      </c>
      <c r="J125" s="451"/>
      <c r="K125" s="451"/>
      <c r="L125" s="451"/>
      <c r="M125" s="451"/>
      <c r="N125" s="451"/>
      <c r="O125" s="451"/>
      <c r="P125" s="451"/>
      <c r="Q125" s="451"/>
      <c r="R125" s="451"/>
      <c r="S125" s="445">
        <f t="shared" si="22"/>
        <v>0</v>
      </c>
      <c r="T125" s="451"/>
      <c r="U125" s="451"/>
      <c r="V125" s="451"/>
    </row>
    <row r="126" spans="1:22" s="441" customFormat="1" ht="30">
      <c r="A126" s="570"/>
      <c r="B126" s="570"/>
      <c r="C126" s="589">
        <v>4210</v>
      </c>
      <c r="D126" s="450" t="s">
        <v>225</v>
      </c>
      <c r="E126" s="502">
        <f t="shared" si="18"/>
        <v>0</v>
      </c>
      <c r="F126" s="445">
        <f t="shared" si="19"/>
        <v>0</v>
      </c>
      <c r="G126" s="445">
        <f t="shared" si="20"/>
        <v>0</v>
      </c>
      <c r="H126" s="451"/>
      <c r="I126" s="445">
        <f t="shared" si="21"/>
        <v>0</v>
      </c>
      <c r="J126" s="451"/>
      <c r="K126" s="451"/>
      <c r="L126" s="451"/>
      <c r="M126" s="451"/>
      <c r="N126" s="451"/>
      <c r="O126" s="451"/>
      <c r="P126" s="451"/>
      <c r="Q126" s="451"/>
      <c r="R126" s="451"/>
      <c r="S126" s="445">
        <f t="shared" si="22"/>
        <v>0</v>
      </c>
      <c r="T126" s="451"/>
      <c r="U126" s="451"/>
      <c r="V126" s="451"/>
    </row>
    <row r="127" spans="1:22" s="441" customFormat="1" ht="33" customHeight="1">
      <c r="A127" s="570"/>
      <c r="B127" s="570"/>
      <c r="C127" s="589">
        <v>4300</v>
      </c>
      <c r="D127" s="450" t="s">
        <v>198</v>
      </c>
      <c r="E127" s="502">
        <f t="shared" si="18"/>
        <v>980</v>
      </c>
      <c r="F127" s="445">
        <f t="shared" si="19"/>
        <v>980</v>
      </c>
      <c r="G127" s="445">
        <f t="shared" si="20"/>
        <v>980</v>
      </c>
      <c r="H127" s="451">
        <v>980</v>
      </c>
      <c r="I127" s="445">
        <f t="shared" si="21"/>
        <v>0</v>
      </c>
      <c r="J127" s="451"/>
      <c r="K127" s="451"/>
      <c r="L127" s="451"/>
      <c r="M127" s="451"/>
      <c r="N127" s="451"/>
      <c r="O127" s="451"/>
      <c r="P127" s="451"/>
      <c r="Q127" s="451"/>
      <c r="R127" s="451"/>
      <c r="S127" s="445">
        <f t="shared" si="22"/>
        <v>0</v>
      </c>
      <c r="T127" s="451"/>
      <c r="U127" s="451"/>
      <c r="V127" s="451"/>
    </row>
    <row r="128" spans="1:22" s="441" customFormat="1" ht="71.25" customHeight="1">
      <c r="A128" s="570"/>
      <c r="B128" s="570"/>
      <c r="C128" s="589">
        <v>4380</v>
      </c>
      <c r="D128" s="450" t="s">
        <v>380</v>
      </c>
      <c r="E128" s="502">
        <f t="shared" si="18"/>
        <v>0</v>
      </c>
      <c r="F128" s="445">
        <f t="shared" si="19"/>
        <v>0</v>
      </c>
      <c r="G128" s="445">
        <f t="shared" si="20"/>
        <v>0</v>
      </c>
      <c r="H128" s="451"/>
      <c r="I128" s="445">
        <f t="shared" si="21"/>
        <v>0</v>
      </c>
      <c r="J128" s="451"/>
      <c r="K128" s="451"/>
      <c r="L128" s="451"/>
      <c r="M128" s="451"/>
      <c r="N128" s="451"/>
      <c r="O128" s="451"/>
      <c r="P128" s="451"/>
      <c r="Q128" s="451"/>
      <c r="R128" s="451"/>
      <c r="S128" s="445">
        <f t="shared" si="22"/>
        <v>0</v>
      </c>
      <c r="T128" s="451"/>
      <c r="U128" s="451"/>
      <c r="V128" s="451"/>
    </row>
    <row r="129" spans="1:22" s="441" customFormat="1" ht="71.25" customHeight="1">
      <c r="A129" s="570"/>
      <c r="B129" s="570"/>
      <c r="C129" s="589">
        <v>4700</v>
      </c>
      <c r="D129" s="450" t="s">
        <v>385</v>
      </c>
      <c r="E129" s="502">
        <f t="shared" si="18"/>
        <v>4000</v>
      </c>
      <c r="F129" s="445">
        <f t="shared" si="19"/>
        <v>4000</v>
      </c>
      <c r="G129" s="445">
        <f t="shared" si="20"/>
        <v>4000</v>
      </c>
      <c r="H129" s="451">
        <v>4000</v>
      </c>
      <c r="I129" s="445">
        <f t="shared" si="21"/>
        <v>0</v>
      </c>
      <c r="J129" s="451"/>
      <c r="K129" s="451"/>
      <c r="L129" s="451"/>
      <c r="M129" s="451"/>
      <c r="N129" s="451"/>
      <c r="O129" s="451"/>
      <c r="P129" s="451"/>
      <c r="Q129" s="451"/>
      <c r="R129" s="451"/>
      <c r="S129" s="445">
        <f>T129+V129</f>
        <v>0</v>
      </c>
      <c r="T129" s="451"/>
      <c r="U129" s="451"/>
      <c r="V129" s="451"/>
    </row>
    <row r="130" spans="1:22" s="441" customFormat="1" ht="47.25">
      <c r="A130" s="572"/>
      <c r="B130" s="572"/>
      <c r="C130" s="589">
        <v>4610</v>
      </c>
      <c r="D130" s="454" t="s">
        <v>125</v>
      </c>
      <c r="E130" s="502">
        <f t="shared" si="18"/>
        <v>0</v>
      </c>
      <c r="F130" s="445">
        <f t="shared" si="19"/>
        <v>0</v>
      </c>
      <c r="G130" s="445">
        <f t="shared" si="20"/>
        <v>0</v>
      </c>
      <c r="H130" s="451"/>
      <c r="I130" s="445">
        <f t="shared" si="21"/>
        <v>0</v>
      </c>
      <c r="J130" s="451"/>
      <c r="K130" s="451"/>
      <c r="L130" s="451"/>
      <c r="M130" s="451"/>
      <c r="N130" s="451"/>
      <c r="O130" s="451"/>
      <c r="P130" s="451"/>
      <c r="Q130" s="451"/>
      <c r="R130" s="451"/>
      <c r="S130" s="445">
        <f t="shared" si="22"/>
        <v>0</v>
      </c>
      <c r="T130" s="451"/>
      <c r="U130" s="451"/>
      <c r="V130" s="451"/>
    </row>
    <row r="131" spans="1:22" s="441" customFormat="1" ht="49.5" customHeight="1">
      <c r="A131" s="570"/>
      <c r="B131" s="570"/>
      <c r="C131" s="589">
        <v>4700</v>
      </c>
      <c r="D131" s="450" t="s">
        <v>385</v>
      </c>
      <c r="E131" s="502">
        <f t="shared" si="18"/>
        <v>0</v>
      </c>
      <c r="F131" s="445">
        <f t="shared" si="19"/>
        <v>0</v>
      </c>
      <c r="G131" s="445">
        <f t="shared" si="20"/>
        <v>0</v>
      </c>
      <c r="H131" s="451"/>
      <c r="I131" s="445">
        <f t="shared" si="21"/>
        <v>0</v>
      </c>
      <c r="J131" s="451"/>
      <c r="K131" s="451"/>
      <c r="L131" s="451"/>
      <c r="M131" s="451"/>
      <c r="N131" s="451"/>
      <c r="O131" s="451"/>
      <c r="P131" s="451"/>
      <c r="Q131" s="451"/>
      <c r="R131" s="451"/>
      <c r="S131" s="445">
        <f t="shared" si="22"/>
        <v>0</v>
      </c>
      <c r="T131" s="451"/>
      <c r="U131" s="451"/>
      <c r="V131" s="451"/>
    </row>
    <row r="132" spans="1:22" s="449" customFormat="1" ht="15.75">
      <c r="A132" s="571"/>
      <c r="B132" s="571">
        <v>75019</v>
      </c>
      <c r="C132" s="588"/>
      <c r="D132" s="262" t="s">
        <v>205</v>
      </c>
      <c r="E132" s="502">
        <f t="shared" si="18"/>
        <v>405200</v>
      </c>
      <c r="F132" s="445">
        <f t="shared" si="19"/>
        <v>405200</v>
      </c>
      <c r="G132" s="445">
        <f t="shared" si="20"/>
        <v>31200</v>
      </c>
      <c r="H132" s="448">
        <f>SUM(H133:H141)</f>
        <v>31200</v>
      </c>
      <c r="I132" s="445">
        <f t="shared" si="21"/>
        <v>0</v>
      </c>
      <c r="J132" s="448">
        <f aca="true" t="shared" si="28" ref="J132:R132">SUM(J133:J141)</f>
        <v>0</v>
      </c>
      <c r="K132" s="448">
        <f t="shared" si="28"/>
        <v>0</v>
      </c>
      <c r="L132" s="448">
        <f t="shared" si="28"/>
        <v>0</v>
      </c>
      <c r="M132" s="448">
        <f t="shared" si="28"/>
        <v>0</v>
      </c>
      <c r="N132" s="448">
        <f t="shared" si="28"/>
        <v>374000</v>
      </c>
      <c r="O132" s="448">
        <f t="shared" si="28"/>
        <v>0</v>
      </c>
      <c r="P132" s="448">
        <f>SUM(P133:P141)</f>
        <v>0</v>
      </c>
      <c r="Q132" s="448">
        <f t="shared" si="28"/>
        <v>0</v>
      </c>
      <c r="R132" s="448">
        <f t="shared" si="28"/>
        <v>0</v>
      </c>
      <c r="S132" s="445">
        <f t="shared" si="22"/>
        <v>0</v>
      </c>
      <c r="T132" s="448">
        <f>SUM(T133:T139)</f>
        <v>0</v>
      </c>
      <c r="U132" s="448">
        <f>SUM(U133:U139)</f>
        <v>0</v>
      </c>
      <c r="V132" s="448">
        <f>SUM(V133:V139)</f>
        <v>0</v>
      </c>
    </row>
    <row r="133" spans="1:22" s="441" customFormat="1" ht="30">
      <c r="A133" s="572"/>
      <c r="B133" s="572"/>
      <c r="C133" s="589">
        <v>3030</v>
      </c>
      <c r="D133" s="450" t="s">
        <v>206</v>
      </c>
      <c r="E133" s="502">
        <f t="shared" si="18"/>
        <v>374000</v>
      </c>
      <c r="F133" s="445">
        <f t="shared" si="19"/>
        <v>374000</v>
      </c>
      <c r="G133" s="445">
        <f t="shared" si="20"/>
        <v>0</v>
      </c>
      <c r="H133" s="451"/>
      <c r="I133" s="445">
        <f t="shared" si="21"/>
        <v>0</v>
      </c>
      <c r="J133" s="451"/>
      <c r="K133" s="451"/>
      <c r="L133" s="451"/>
      <c r="M133" s="451"/>
      <c r="N133" s="451">
        <v>374000</v>
      </c>
      <c r="O133" s="451"/>
      <c r="P133" s="451"/>
      <c r="Q133" s="451"/>
      <c r="R133" s="451"/>
      <c r="S133" s="445">
        <f t="shared" si="22"/>
        <v>0</v>
      </c>
      <c r="T133" s="451"/>
      <c r="U133" s="451"/>
      <c r="V133" s="451"/>
    </row>
    <row r="134" spans="1:22" s="441" customFormat="1" ht="30">
      <c r="A134" s="572"/>
      <c r="B134" s="572"/>
      <c r="C134" s="589">
        <v>4210</v>
      </c>
      <c r="D134" s="450" t="s">
        <v>107</v>
      </c>
      <c r="E134" s="502">
        <f t="shared" si="18"/>
        <v>12800</v>
      </c>
      <c r="F134" s="445">
        <f t="shared" si="19"/>
        <v>12800</v>
      </c>
      <c r="G134" s="445">
        <f t="shared" si="20"/>
        <v>12800</v>
      </c>
      <c r="H134" s="451">
        <v>12800</v>
      </c>
      <c r="I134" s="445">
        <f t="shared" si="21"/>
        <v>0</v>
      </c>
      <c r="J134" s="451"/>
      <c r="K134" s="451"/>
      <c r="L134" s="451"/>
      <c r="M134" s="451"/>
      <c r="N134" s="451"/>
      <c r="O134" s="451"/>
      <c r="P134" s="451"/>
      <c r="Q134" s="451"/>
      <c r="R134" s="451"/>
      <c r="S134" s="445">
        <f t="shared" si="22"/>
        <v>0</v>
      </c>
      <c r="T134" s="451"/>
      <c r="U134" s="451"/>
      <c r="V134" s="451"/>
    </row>
    <row r="135" spans="1:22" s="441" customFormat="1" ht="42" customHeight="1">
      <c r="A135" s="572"/>
      <c r="B135" s="572"/>
      <c r="C135" s="589">
        <v>4300</v>
      </c>
      <c r="D135" s="450" t="s">
        <v>207</v>
      </c>
      <c r="E135" s="502">
        <f t="shared" si="18"/>
        <v>7300</v>
      </c>
      <c r="F135" s="445">
        <f t="shared" si="19"/>
        <v>7300</v>
      </c>
      <c r="G135" s="445">
        <f t="shared" si="20"/>
        <v>7300</v>
      </c>
      <c r="H135" s="451">
        <v>7300</v>
      </c>
      <c r="I135" s="445">
        <f t="shared" si="21"/>
        <v>0</v>
      </c>
      <c r="J135" s="451"/>
      <c r="K135" s="451"/>
      <c r="L135" s="451"/>
      <c r="M135" s="451"/>
      <c r="N135" s="451"/>
      <c r="O135" s="451"/>
      <c r="P135" s="451"/>
      <c r="Q135" s="451"/>
      <c r="R135" s="451"/>
      <c r="S135" s="445">
        <f t="shared" si="22"/>
        <v>0</v>
      </c>
      <c r="T135" s="451"/>
      <c r="U135" s="451"/>
      <c r="V135" s="451"/>
    </row>
    <row r="136" spans="1:22" s="441" customFormat="1" ht="45">
      <c r="A136" s="572"/>
      <c r="B136" s="572"/>
      <c r="C136" s="589">
        <v>4360</v>
      </c>
      <c r="D136" s="450" t="s">
        <v>586</v>
      </c>
      <c r="E136" s="502">
        <f t="shared" si="18"/>
        <v>8500</v>
      </c>
      <c r="F136" s="445">
        <f t="shared" si="19"/>
        <v>8500</v>
      </c>
      <c r="G136" s="445">
        <f t="shared" si="20"/>
        <v>8500</v>
      </c>
      <c r="H136" s="451">
        <v>8500</v>
      </c>
      <c r="I136" s="445">
        <f t="shared" si="21"/>
        <v>0</v>
      </c>
      <c r="J136" s="451"/>
      <c r="K136" s="451"/>
      <c r="L136" s="451"/>
      <c r="M136" s="451"/>
      <c r="N136" s="451"/>
      <c r="O136" s="451"/>
      <c r="P136" s="451"/>
      <c r="Q136" s="451"/>
      <c r="R136" s="451"/>
      <c r="S136" s="445">
        <f t="shared" si="22"/>
        <v>0</v>
      </c>
      <c r="T136" s="451"/>
      <c r="U136" s="451"/>
      <c r="V136" s="451"/>
    </row>
    <row r="137" spans="1:22" s="441" customFormat="1" ht="45" customHeight="1">
      <c r="A137" s="572"/>
      <c r="B137" s="572"/>
      <c r="C137" s="589">
        <v>4370</v>
      </c>
      <c r="D137" s="450" t="s">
        <v>382</v>
      </c>
      <c r="E137" s="502">
        <f t="shared" si="18"/>
        <v>0</v>
      </c>
      <c r="F137" s="445">
        <f t="shared" si="19"/>
        <v>0</v>
      </c>
      <c r="G137" s="445">
        <f t="shared" si="20"/>
        <v>0</v>
      </c>
      <c r="H137" s="451"/>
      <c r="I137" s="445">
        <f t="shared" si="21"/>
        <v>0</v>
      </c>
      <c r="J137" s="451"/>
      <c r="K137" s="451"/>
      <c r="L137" s="451"/>
      <c r="M137" s="451"/>
      <c r="N137" s="451"/>
      <c r="O137" s="451"/>
      <c r="P137" s="451"/>
      <c r="Q137" s="451"/>
      <c r="R137" s="451"/>
      <c r="S137" s="445">
        <f t="shared" si="22"/>
        <v>0</v>
      </c>
      <c r="T137" s="451"/>
      <c r="U137" s="451"/>
      <c r="V137" s="451"/>
    </row>
    <row r="138" spans="1:22" s="441" customFormat="1" ht="76.5" customHeight="1">
      <c r="A138" s="572"/>
      <c r="B138" s="572"/>
      <c r="C138" s="589">
        <v>4400</v>
      </c>
      <c r="D138" s="450" t="s">
        <v>592</v>
      </c>
      <c r="E138" s="502">
        <f t="shared" si="18"/>
        <v>2600</v>
      </c>
      <c r="F138" s="445">
        <f t="shared" si="19"/>
        <v>2600</v>
      </c>
      <c r="G138" s="445">
        <f t="shared" si="20"/>
        <v>2600</v>
      </c>
      <c r="H138" s="451">
        <v>2600</v>
      </c>
      <c r="I138" s="445">
        <f t="shared" si="21"/>
        <v>0</v>
      </c>
      <c r="J138" s="451"/>
      <c r="K138" s="451"/>
      <c r="L138" s="451"/>
      <c r="M138" s="451"/>
      <c r="N138" s="451"/>
      <c r="O138" s="451"/>
      <c r="P138" s="451"/>
      <c r="Q138" s="451"/>
      <c r="R138" s="451"/>
      <c r="S138" s="445">
        <f t="shared" si="22"/>
        <v>0</v>
      </c>
      <c r="T138" s="451"/>
      <c r="U138" s="451"/>
      <c r="V138" s="451"/>
    </row>
    <row r="139" spans="1:22" s="441" customFormat="1" ht="30" customHeight="1">
      <c r="A139" s="572"/>
      <c r="B139" s="572"/>
      <c r="C139" s="589">
        <v>4410</v>
      </c>
      <c r="D139" s="450" t="s">
        <v>115</v>
      </c>
      <c r="E139" s="502">
        <f t="shared" si="18"/>
        <v>0</v>
      </c>
      <c r="F139" s="445">
        <f t="shared" si="19"/>
        <v>0</v>
      </c>
      <c r="G139" s="445">
        <f t="shared" si="20"/>
        <v>0</v>
      </c>
      <c r="H139" s="451"/>
      <c r="I139" s="445">
        <f t="shared" si="21"/>
        <v>0</v>
      </c>
      <c r="J139" s="451"/>
      <c r="K139" s="451"/>
      <c r="L139" s="451"/>
      <c r="M139" s="451"/>
      <c r="N139" s="451"/>
      <c r="O139" s="451"/>
      <c r="P139" s="451"/>
      <c r="Q139" s="451"/>
      <c r="R139" s="451"/>
      <c r="S139" s="445">
        <f t="shared" si="22"/>
        <v>0</v>
      </c>
      <c r="T139" s="451"/>
      <c r="U139" s="451"/>
      <c r="V139" s="451"/>
    </row>
    <row r="140" spans="1:22" s="441" customFormat="1" ht="30" customHeight="1">
      <c r="A140" s="572"/>
      <c r="B140" s="577"/>
      <c r="C140" s="593">
        <v>4420</v>
      </c>
      <c r="D140" s="504" t="s">
        <v>588</v>
      </c>
      <c r="E140" s="502">
        <f t="shared" si="18"/>
        <v>0</v>
      </c>
      <c r="F140" s="445">
        <f t="shared" si="19"/>
        <v>0</v>
      </c>
      <c r="G140" s="445">
        <f t="shared" si="20"/>
        <v>0</v>
      </c>
      <c r="H140" s="451"/>
      <c r="I140" s="445">
        <f t="shared" si="21"/>
        <v>0</v>
      </c>
      <c r="J140" s="451"/>
      <c r="K140" s="451"/>
      <c r="L140" s="451"/>
      <c r="M140" s="451"/>
      <c r="N140" s="451"/>
      <c r="O140" s="451"/>
      <c r="P140" s="451"/>
      <c r="Q140" s="451"/>
      <c r="R140" s="451"/>
      <c r="S140" s="445">
        <f t="shared" si="22"/>
        <v>0</v>
      </c>
      <c r="T140" s="451"/>
      <c r="U140" s="451"/>
      <c r="V140" s="451"/>
    </row>
    <row r="141" spans="1:22" s="441" customFormat="1" ht="45" customHeight="1">
      <c r="A141" s="572"/>
      <c r="B141" s="572"/>
      <c r="C141" s="589">
        <v>4700</v>
      </c>
      <c r="D141" s="450" t="s">
        <v>385</v>
      </c>
      <c r="E141" s="502">
        <f t="shared" si="18"/>
        <v>0</v>
      </c>
      <c r="F141" s="445">
        <f t="shared" si="19"/>
        <v>0</v>
      </c>
      <c r="G141" s="445">
        <f t="shared" si="20"/>
        <v>0</v>
      </c>
      <c r="H141" s="451"/>
      <c r="I141" s="445">
        <f t="shared" si="21"/>
        <v>0</v>
      </c>
      <c r="J141" s="451"/>
      <c r="K141" s="451"/>
      <c r="L141" s="451"/>
      <c r="M141" s="451"/>
      <c r="N141" s="451"/>
      <c r="O141" s="451"/>
      <c r="P141" s="451"/>
      <c r="Q141" s="451"/>
      <c r="R141" s="451"/>
      <c r="S141" s="445">
        <f t="shared" si="22"/>
        <v>0</v>
      </c>
      <c r="T141" s="451"/>
      <c r="U141" s="451"/>
      <c r="V141" s="451"/>
    </row>
    <row r="142" spans="1:22" s="449" customFormat="1" ht="15.75">
      <c r="A142" s="571"/>
      <c r="B142" s="571">
        <v>75020</v>
      </c>
      <c r="C142" s="588"/>
      <c r="D142" s="262" t="s">
        <v>208</v>
      </c>
      <c r="E142" s="502">
        <f t="shared" si="18"/>
        <v>7401884</v>
      </c>
      <c r="F142" s="445">
        <f t="shared" si="19"/>
        <v>7205384</v>
      </c>
      <c r="G142" s="445">
        <f t="shared" si="20"/>
        <v>7200784</v>
      </c>
      <c r="H142" s="448">
        <f>SUM(H143:H173)</f>
        <v>2877640</v>
      </c>
      <c r="I142" s="445">
        <f t="shared" si="21"/>
        <v>4323144</v>
      </c>
      <c r="J142" s="448">
        <f aca="true" t="shared" si="29" ref="J142:R142">SUM(J143:J173)</f>
        <v>3465217</v>
      </c>
      <c r="K142" s="448">
        <f t="shared" si="29"/>
        <v>249000</v>
      </c>
      <c r="L142" s="448">
        <f t="shared" si="29"/>
        <v>594267</v>
      </c>
      <c r="M142" s="448">
        <f t="shared" si="29"/>
        <v>14660</v>
      </c>
      <c r="N142" s="448">
        <f t="shared" si="29"/>
        <v>4600</v>
      </c>
      <c r="O142" s="448">
        <f t="shared" si="29"/>
        <v>0</v>
      </c>
      <c r="P142" s="448">
        <f>SUM(P143:P173)</f>
        <v>0</v>
      </c>
      <c r="Q142" s="448">
        <f t="shared" si="29"/>
        <v>0</v>
      </c>
      <c r="R142" s="448">
        <f t="shared" si="29"/>
        <v>0</v>
      </c>
      <c r="S142" s="445">
        <f t="shared" si="22"/>
        <v>196500</v>
      </c>
      <c r="T142" s="448">
        <f>SUM(T143:T173)</f>
        <v>196500</v>
      </c>
      <c r="U142" s="448">
        <f>SUM(U143:U173)</f>
        <v>0</v>
      </c>
      <c r="V142" s="448">
        <f>SUM(V143:V173)</f>
        <v>0</v>
      </c>
    </row>
    <row r="143" spans="1:22" s="441" customFormat="1" ht="105">
      <c r="A143" s="572"/>
      <c r="B143" s="572"/>
      <c r="C143" s="589">
        <v>2900</v>
      </c>
      <c r="D143" s="450" t="s">
        <v>217</v>
      </c>
      <c r="E143" s="502">
        <f t="shared" si="18"/>
        <v>12300</v>
      </c>
      <c r="F143" s="445">
        <f t="shared" si="19"/>
        <v>12300</v>
      </c>
      <c r="G143" s="445">
        <f t="shared" si="20"/>
        <v>12300</v>
      </c>
      <c r="H143" s="451">
        <v>12300</v>
      </c>
      <c r="I143" s="445">
        <f t="shared" si="21"/>
        <v>0</v>
      </c>
      <c r="J143" s="451"/>
      <c r="K143" s="451"/>
      <c r="L143" s="451"/>
      <c r="M143" s="451"/>
      <c r="N143" s="451"/>
      <c r="O143" s="451"/>
      <c r="P143" s="451"/>
      <c r="Q143" s="451"/>
      <c r="R143" s="451"/>
      <c r="S143" s="445">
        <f t="shared" si="22"/>
        <v>0</v>
      </c>
      <c r="T143" s="451"/>
      <c r="U143" s="451"/>
      <c r="V143" s="451"/>
    </row>
    <row r="144" spans="1:22" s="441" customFormat="1" ht="45">
      <c r="A144" s="574"/>
      <c r="B144" s="570"/>
      <c r="C144" s="589">
        <v>3020</v>
      </c>
      <c r="D144" s="450" t="s">
        <v>386</v>
      </c>
      <c r="E144" s="502">
        <f t="shared" si="18"/>
        <v>4600</v>
      </c>
      <c r="F144" s="445">
        <f t="shared" si="19"/>
        <v>4600</v>
      </c>
      <c r="G144" s="445">
        <f t="shared" si="20"/>
        <v>0</v>
      </c>
      <c r="H144" s="451"/>
      <c r="I144" s="445">
        <f t="shared" si="21"/>
        <v>0</v>
      </c>
      <c r="J144" s="451"/>
      <c r="K144" s="451"/>
      <c r="L144" s="451"/>
      <c r="M144" s="451"/>
      <c r="N144" s="451">
        <v>4600</v>
      </c>
      <c r="O144" s="451"/>
      <c r="P144" s="451"/>
      <c r="Q144" s="451"/>
      <c r="R144" s="451"/>
      <c r="S144" s="445">
        <f t="shared" si="22"/>
        <v>0</v>
      </c>
      <c r="T144" s="451"/>
      <c r="U144" s="451"/>
      <c r="V144" s="451"/>
    </row>
    <row r="145" spans="1:22" s="441" customFormat="1" ht="15.75">
      <c r="A145" s="574"/>
      <c r="B145" s="570"/>
      <c r="C145" s="589">
        <v>3250</v>
      </c>
      <c r="D145" s="450" t="s">
        <v>218</v>
      </c>
      <c r="E145" s="502">
        <f t="shared" si="18"/>
        <v>0</v>
      </c>
      <c r="F145" s="445">
        <f t="shared" si="19"/>
        <v>0</v>
      </c>
      <c r="G145" s="445">
        <f t="shared" si="20"/>
        <v>0</v>
      </c>
      <c r="H145" s="600"/>
      <c r="I145" s="445">
        <f t="shared" si="21"/>
        <v>0</v>
      </c>
      <c r="J145" s="451"/>
      <c r="K145" s="451"/>
      <c r="L145" s="451"/>
      <c r="M145" s="451"/>
      <c r="N145" s="451">
        <v>0</v>
      </c>
      <c r="O145" s="451"/>
      <c r="P145" s="451"/>
      <c r="Q145" s="451"/>
      <c r="R145" s="451"/>
      <c r="S145" s="445">
        <f t="shared" si="22"/>
        <v>0</v>
      </c>
      <c r="T145" s="451"/>
      <c r="U145" s="451"/>
      <c r="V145" s="451"/>
    </row>
    <row r="146" spans="1:22" s="441" customFormat="1" ht="30">
      <c r="A146" s="574"/>
      <c r="B146" s="570"/>
      <c r="C146" s="408">
        <v>4010</v>
      </c>
      <c r="D146" s="450" t="s">
        <v>102</v>
      </c>
      <c r="E146" s="502">
        <f t="shared" si="18"/>
        <v>3465217</v>
      </c>
      <c r="F146" s="445">
        <f t="shared" si="19"/>
        <v>3465217</v>
      </c>
      <c r="G146" s="445">
        <f t="shared" si="20"/>
        <v>3465217</v>
      </c>
      <c r="H146" s="451"/>
      <c r="I146" s="445">
        <f t="shared" si="21"/>
        <v>3465217</v>
      </c>
      <c r="J146" s="451">
        <v>3465217</v>
      </c>
      <c r="K146" s="451"/>
      <c r="L146" s="451"/>
      <c r="M146" s="451"/>
      <c r="N146" s="451"/>
      <c r="O146" s="451"/>
      <c r="P146" s="451"/>
      <c r="Q146" s="451"/>
      <c r="R146" s="451"/>
      <c r="S146" s="445">
        <f t="shared" si="22"/>
        <v>0</v>
      </c>
      <c r="T146" s="451"/>
      <c r="U146" s="451"/>
      <c r="V146" s="451"/>
    </row>
    <row r="147" spans="1:22" s="441" customFormat="1" ht="30">
      <c r="A147" s="574"/>
      <c r="B147" s="570"/>
      <c r="C147" s="589">
        <v>4040</v>
      </c>
      <c r="D147" s="450" t="s">
        <v>103</v>
      </c>
      <c r="E147" s="502">
        <f t="shared" si="18"/>
        <v>249000</v>
      </c>
      <c r="F147" s="445">
        <f t="shared" si="19"/>
        <v>249000</v>
      </c>
      <c r="G147" s="445">
        <f t="shared" si="20"/>
        <v>249000</v>
      </c>
      <c r="H147" s="451"/>
      <c r="I147" s="445">
        <f t="shared" si="21"/>
        <v>249000</v>
      </c>
      <c r="J147" s="451"/>
      <c r="K147" s="451">
        <v>249000</v>
      </c>
      <c r="L147" s="451"/>
      <c r="M147" s="451"/>
      <c r="N147" s="451"/>
      <c r="O147" s="451"/>
      <c r="P147" s="451"/>
      <c r="Q147" s="451"/>
      <c r="R147" s="451"/>
      <c r="S147" s="445">
        <f t="shared" si="22"/>
        <v>0</v>
      </c>
      <c r="T147" s="451"/>
      <c r="U147" s="451"/>
      <c r="V147" s="451"/>
    </row>
    <row r="148" spans="1:22" s="441" customFormat="1" ht="45">
      <c r="A148" s="574"/>
      <c r="B148" s="570"/>
      <c r="C148" s="589">
        <v>4110</v>
      </c>
      <c r="D148" s="450" t="s">
        <v>104</v>
      </c>
      <c r="E148" s="502">
        <f t="shared" si="18"/>
        <v>511819</v>
      </c>
      <c r="F148" s="445">
        <f t="shared" si="19"/>
        <v>511819</v>
      </c>
      <c r="G148" s="445">
        <f t="shared" si="20"/>
        <v>511819</v>
      </c>
      <c r="H148" s="451"/>
      <c r="I148" s="445">
        <f t="shared" si="21"/>
        <v>511819</v>
      </c>
      <c r="J148" s="451"/>
      <c r="K148" s="451"/>
      <c r="L148" s="485">
        <v>511819</v>
      </c>
      <c r="M148" s="485"/>
      <c r="N148" s="485"/>
      <c r="O148" s="451"/>
      <c r="P148" s="451"/>
      <c r="Q148" s="451"/>
      <c r="R148" s="451"/>
      <c r="S148" s="445">
        <f t="shared" si="22"/>
        <v>0</v>
      </c>
      <c r="T148" s="451"/>
      <c r="U148" s="451"/>
      <c r="V148" s="451"/>
    </row>
    <row r="149" spans="1:22" s="441" customFormat="1" ht="30">
      <c r="A149" s="574"/>
      <c r="B149" s="570"/>
      <c r="C149" s="589">
        <v>4120</v>
      </c>
      <c r="D149" s="450" t="s">
        <v>105</v>
      </c>
      <c r="E149" s="502">
        <f t="shared" si="18"/>
        <v>82448</v>
      </c>
      <c r="F149" s="445">
        <f t="shared" si="19"/>
        <v>82448</v>
      </c>
      <c r="G149" s="445">
        <f t="shared" si="20"/>
        <v>82448</v>
      </c>
      <c r="H149" s="451"/>
      <c r="I149" s="445">
        <f t="shared" si="21"/>
        <v>82448</v>
      </c>
      <c r="J149" s="451"/>
      <c r="K149" s="451"/>
      <c r="L149" s="485">
        <v>82448</v>
      </c>
      <c r="M149" s="485"/>
      <c r="N149" s="485"/>
      <c r="O149" s="451"/>
      <c r="P149" s="451"/>
      <c r="Q149" s="451"/>
      <c r="R149" s="451"/>
      <c r="S149" s="445">
        <f t="shared" si="22"/>
        <v>0</v>
      </c>
      <c r="T149" s="451"/>
      <c r="U149" s="451"/>
      <c r="V149" s="451"/>
    </row>
    <row r="150" spans="1:22" s="441" customFormat="1" ht="15.75" customHeight="1">
      <c r="A150" s="574"/>
      <c r="B150" s="570"/>
      <c r="C150" s="589">
        <v>4140</v>
      </c>
      <c r="D150" s="450" t="s">
        <v>589</v>
      </c>
      <c r="E150" s="502">
        <f t="shared" si="18"/>
        <v>0</v>
      </c>
      <c r="F150" s="445">
        <f t="shared" si="19"/>
        <v>0</v>
      </c>
      <c r="G150" s="445">
        <f t="shared" si="20"/>
        <v>0</v>
      </c>
      <c r="H150" s="451">
        <v>0</v>
      </c>
      <c r="I150" s="445">
        <f t="shared" si="21"/>
        <v>0</v>
      </c>
      <c r="J150" s="451"/>
      <c r="K150" s="451"/>
      <c r="L150" s="451"/>
      <c r="M150" s="451"/>
      <c r="N150" s="451"/>
      <c r="O150" s="451"/>
      <c r="P150" s="451"/>
      <c r="Q150" s="451"/>
      <c r="R150" s="451"/>
      <c r="S150" s="445">
        <f t="shared" si="22"/>
        <v>0</v>
      </c>
      <c r="T150" s="451"/>
      <c r="U150" s="451"/>
      <c r="V150" s="451"/>
    </row>
    <row r="151" spans="1:22" s="441" customFormat="1" ht="30">
      <c r="A151" s="574"/>
      <c r="B151" s="570"/>
      <c r="C151" s="589">
        <v>4170</v>
      </c>
      <c r="D151" s="450" t="s">
        <v>196</v>
      </c>
      <c r="E151" s="502">
        <f t="shared" si="18"/>
        <v>14660</v>
      </c>
      <c r="F151" s="445">
        <f t="shared" si="19"/>
        <v>14660</v>
      </c>
      <c r="G151" s="445">
        <f t="shared" si="20"/>
        <v>14660</v>
      </c>
      <c r="H151" s="451"/>
      <c r="I151" s="445">
        <f t="shared" si="21"/>
        <v>14660</v>
      </c>
      <c r="J151" s="451"/>
      <c r="K151" s="451"/>
      <c r="L151" s="451"/>
      <c r="M151" s="451">
        <v>14660</v>
      </c>
      <c r="N151" s="451"/>
      <c r="O151" s="451"/>
      <c r="P151" s="451"/>
      <c r="Q151" s="451"/>
      <c r="R151" s="451"/>
      <c r="S151" s="445">
        <f t="shared" si="22"/>
        <v>0</v>
      </c>
      <c r="T151" s="451"/>
      <c r="U151" s="451"/>
      <c r="V151" s="451"/>
    </row>
    <row r="152" spans="1:22" s="441" customFormat="1" ht="30">
      <c r="A152" s="574"/>
      <c r="B152" s="570"/>
      <c r="C152" s="589">
        <v>4210</v>
      </c>
      <c r="D152" s="450" t="s">
        <v>107</v>
      </c>
      <c r="E152" s="502">
        <f t="shared" si="18"/>
        <v>878740</v>
      </c>
      <c r="F152" s="445">
        <f t="shared" si="19"/>
        <v>878740</v>
      </c>
      <c r="G152" s="445">
        <f t="shared" si="20"/>
        <v>878740</v>
      </c>
      <c r="H152" s="451">
        <v>878740</v>
      </c>
      <c r="I152" s="445">
        <f t="shared" si="21"/>
        <v>0</v>
      </c>
      <c r="J152" s="451"/>
      <c r="K152" s="451"/>
      <c r="L152" s="451"/>
      <c r="M152" s="451"/>
      <c r="N152" s="451"/>
      <c r="O152" s="451"/>
      <c r="P152" s="451"/>
      <c r="Q152" s="451"/>
      <c r="R152" s="451"/>
      <c r="S152" s="445">
        <f t="shared" si="22"/>
        <v>0</v>
      </c>
      <c r="T152" s="451"/>
      <c r="U152" s="451"/>
      <c r="V152" s="451"/>
    </row>
    <row r="153" spans="1:22" s="441" customFormat="1" ht="45">
      <c r="A153" s="574"/>
      <c r="B153" s="570"/>
      <c r="C153" s="589">
        <v>4230</v>
      </c>
      <c r="D153" s="450" t="s">
        <v>414</v>
      </c>
      <c r="E153" s="502">
        <f aca="true" t="shared" si="30" ref="E153:E194">F153+S153</f>
        <v>0</v>
      </c>
      <c r="F153" s="445">
        <f t="shared" si="19"/>
        <v>0</v>
      </c>
      <c r="G153" s="445">
        <f t="shared" si="20"/>
        <v>0</v>
      </c>
      <c r="H153" s="451">
        <v>0</v>
      </c>
      <c r="I153" s="445">
        <f t="shared" si="21"/>
        <v>0</v>
      </c>
      <c r="J153" s="451"/>
      <c r="K153" s="451"/>
      <c r="L153" s="451"/>
      <c r="M153" s="451"/>
      <c r="N153" s="451"/>
      <c r="O153" s="451"/>
      <c r="P153" s="451"/>
      <c r="Q153" s="451"/>
      <c r="R153" s="451"/>
      <c r="S153" s="445">
        <f t="shared" si="22"/>
        <v>0</v>
      </c>
      <c r="T153" s="451"/>
      <c r="U153" s="451"/>
      <c r="V153" s="451"/>
    </row>
    <row r="154" spans="1:22" s="441" customFormat="1" ht="15.75">
      <c r="A154" s="574"/>
      <c r="B154" s="570"/>
      <c r="C154" s="589">
        <v>4260</v>
      </c>
      <c r="D154" s="450" t="s">
        <v>108</v>
      </c>
      <c r="E154" s="502">
        <f t="shared" si="30"/>
        <v>200000</v>
      </c>
      <c r="F154" s="445">
        <f aca="true" t="shared" si="31" ref="F154:F194">G154+N154+O154+P154+Q154+R154</f>
        <v>200000</v>
      </c>
      <c r="G154" s="445">
        <f aca="true" t="shared" si="32" ref="G154:G194">H154+I154</f>
        <v>200000</v>
      </c>
      <c r="H154" s="451">
        <v>200000</v>
      </c>
      <c r="I154" s="445">
        <f aca="true" t="shared" si="33" ref="I154:I194">SUM(J154:M154)</f>
        <v>0</v>
      </c>
      <c r="J154" s="451"/>
      <c r="K154" s="451"/>
      <c r="L154" s="451"/>
      <c r="M154" s="451"/>
      <c r="N154" s="451"/>
      <c r="O154" s="451"/>
      <c r="P154" s="451"/>
      <c r="Q154" s="451"/>
      <c r="R154" s="451"/>
      <c r="S154" s="445">
        <f aca="true" t="shared" si="34" ref="S154:S233">T154+V154</f>
        <v>0</v>
      </c>
      <c r="T154" s="451"/>
      <c r="U154" s="451"/>
      <c r="V154" s="451"/>
    </row>
    <row r="155" spans="1:22" s="441" customFormat="1" ht="30">
      <c r="A155" s="570"/>
      <c r="B155" s="570"/>
      <c r="C155" s="589">
        <v>4270</v>
      </c>
      <c r="D155" s="450" t="s">
        <v>109</v>
      </c>
      <c r="E155" s="502">
        <f t="shared" si="30"/>
        <v>42000</v>
      </c>
      <c r="F155" s="445">
        <f t="shared" si="31"/>
        <v>42000</v>
      </c>
      <c r="G155" s="445">
        <f t="shared" si="32"/>
        <v>42000</v>
      </c>
      <c r="H155" s="451">
        <v>42000</v>
      </c>
      <c r="I155" s="445">
        <f t="shared" si="33"/>
        <v>0</v>
      </c>
      <c r="J155" s="451"/>
      <c r="K155" s="451"/>
      <c r="L155" s="451"/>
      <c r="M155" s="451"/>
      <c r="N155" s="451"/>
      <c r="O155" s="451"/>
      <c r="P155" s="451"/>
      <c r="Q155" s="451"/>
      <c r="R155" s="451"/>
      <c r="S155" s="445">
        <f t="shared" si="34"/>
        <v>0</v>
      </c>
      <c r="T155" s="451"/>
      <c r="U155" s="451"/>
      <c r="V155" s="451"/>
    </row>
    <row r="156" spans="1:22" s="441" customFormat="1" ht="36.75" customHeight="1">
      <c r="A156" s="570"/>
      <c r="B156" s="570"/>
      <c r="C156" s="589">
        <v>4280</v>
      </c>
      <c r="D156" s="457" t="s">
        <v>110</v>
      </c>
      <c r="E156" s="502">
        <f t="shared" si="30"/>
        <v>2500</v>
      </c>
      <c r="F156" s="445">
        <f t="shared" si="31"/>
        <v>2500</v>
      </c>
      <c r="G156" s="445">
        <f t="shared" si="32"/>
        <v>2500</v>
      </c>
      <c r="H156" s="451">
        <v>2500</v>
      </c>
      <c r="I156" s="445">
        <f t="shared" si="33"/>
        <v>0</v>
      </c>
      <c r="J156" s="451"/>
      <c r="K156" s="451"/>
      <c r="L156" s="451"/>
      <c r="M156" s="451"/>
      <c r="N156" s="451"/>
      <c r="O156" s="451"/>
      <c r="P156" s="451"/>
      <c r="Q156" s="451"/>
      <c r="R156" s="451"/>
      <c r="S156" s="445">
        <f t="shared" si="34"/>
        <v>0</v>
      </c>
      <c r="T156" s="451"/>
      <c r="U156" s="451"/>
      <c r="V156" s="451"/>
    </row>
    <row r="157" spans="1:22" s="441" customFormat="1" ht="30">
      <c r="A157" s="570"/>
      <c r="B157" s="570"/>
      <c r="C157" s="589">
        <v>4300</v>
      </c>
      <c r="D157" s="450" t="s">
        <v>90</v>
      </c>
      <c r="E157" s="502">
        <f t="shared" si="30"/>
        <v>625524</v>
      </c>
      <c r="F157" s="445">
        <f t="shared" si="31"/>
        <v>625524</v>
      </c>
      <c r="G157" s="445">
        <f t="shared" si="32"/>
        <v>625524</v>
      </c>
      <c r="H157" s="451">
        <v>625524</v>
      </c>
      <c r="I157" s="445">
        <f t="shared" si="33"/>
        <v>0</v>
      </c>
      <c r="J157" s="451"/>
      <c r="K157" s="451"/>
      <c r="L157" s="451"/>
      <c r="M157" s="451"/>
      <c r="N157" s="451"/>
      <c r="O157" s="451"/>
      <c r="P157" s="451"/>
      <c r="Q157" s="451"/>
      <c r="R157" s="451"/>
      <c r="S157" s="445">
        <f t="shared" si="34"/>
        <v>0</v>
      </c>
      <c r="T157" s="451"/>
      <c r="U157" s="451"/>
      <c r="V157" s="451"/>
    </row>
    <row r="158" spans="1:22" s="441" customFormat="1" ht="30">
      <c r="A158" s="570"/>
      <c r="B158" s="570"/>
      <c r="C158" s="589">
        <v>4350</v>
      </c>
      <c r="D158" s="450" t="s">
        <v>111</v>
      </c>
      <c r="E158" s="502">
        <f t="shared" si="30"/>
        <v>21000</v>
      </c>
      <c r="F158" s="445">
        <f t="shared" si="31"/>
        <v>21000</v>
      </c>
      <c r="G158" s="445">
        <f t="shared" si="32"/>
        <v>21000</v>
      </c>
      <c r="H158" s="451">
        <v>21000</v>
      </c>
      <c r="I158" s="445">
        <f t="shared" si="33"/>
        <v>0</v>
      </c>
      <c r="J158" s="451"/>
      <c r="K158" s="451"/>
      <c r="L158" s="451"/>
      <c r="M158" s="451"/>
      <c r="N158" s="451"/>
      <c r="O158" s="451"/>
      <c r="P158" s="451"/>
      <c r="Q158" s="451"/>
      <c r="R158" s="451"/>
      <c r="S158" s="445">
        <f t="shared" si="34"/>
        <v>0</v>
      </c>
      <c r="T158" s="451"/>
      <c r="U158" s="451"/>
      <c r="V158" s="451"/>
    </row>
    <row r="159" spans="1:22" s="441" customFormat="1" ht="45">
      <c r="A159" s="570"/>
      <c r="B159" s="570"/>
      <c r="C159" s="589">
        <v>4360</v>
      </c>
      <c r="D159" s="450" t="s">
        <v>381</v>
      </c>
      <c r="E159" s="502">
        <f t="shared" si="30"/>
        <v>26000</v>
      </c>
      <c r="F159" s="445">
        <f t="shared" si="31"/>
        <v>26000</v>
      </c>
      <c r="G159" s="445">
        <f t="shared" si="32"/>
        <v>26000</v>
      </c>
      <c r="H159" s="451">
        <v>26000</v>
      </c>
      <c r="I159" s="445">
        <f t="shared" si="33"/>
        <v>0</v>
      </c>
      <c r="J159" s="451"/>
      <c r="K159" s="451"/>
      <c r="L159" s="451"/>
      <c r="M159" s="451"/>
      <c r="N159" s="451"/>
      <c r="O159" s="451"/>
      <c r="P159" s="451"/>
      <c r="Q159" s="451"/>
      <c r="R159" s="451"/>
      <c r="S159" s="445">
        <f t="shared" si="34"/>
        <v>0</v>
      </c>
      <c r="T159" s="451"/>
      <c r="U159" s="451"/>
      <c r="V159" s="451"/>
    </row>
    <row r="160" spans="1:22" s="441" customFormat="1" ht="45">
      <c r="A160" s="570"/>
      <c r="B160" s="570"/>
      <c r="C160" s="589">
        <v>4370</v>
      </c>
      <c r="D160" s="450" t="s">
        <v>382</v>
      </c>
      <c r="E160" s="502">
        <f t="shared" si="30"/>
        <v>51000</v>
      </c>
      <c r="F160" s="445">
        <f t="shared" si="31"/>
        <v>51000</v>
      </c>
      <c r="G160" s="445">
        <f t="shared" si="32"/>
        <v>51000</v>
      </c>
      <c r="H160" s="451">
        <v>51000</v>
      </c>
      <c r="I160" s="445">
        <f t="shared" si="33"/>
        <v>0</v>
      </c>
      <c r="J160" s="451"/>
      <c r="K160" s="451"/>
      <c r="L160" s="451"/>
      <c r="M160" s="451"/>
      <c r="N160" s="451"/>
      <c r="O160" s="451"/>
      <c r="P160" s="451"/>
      <c r="Q160" s="451"/>
      <c r="R160" s="451"/>
      <c r="S160" s="445">
        <f t="shared" si="34"/>
        <v>0</v>
      </c>
      <c r="T160" s="451"/>
      <c r="U160" s="451"/>
      <c r="V160" s="451"/>
    </row>
    <row r="161" spans="1:22" s="441" customFormat="1" ht="45">
      <c r="A161" s="570"/>
      <c r="B161" s="570"/>
      <c r="C161" s="589">
        <v>4380</v>
      </c>
      <c r="D161" s="450" t="s">
        <v>380</v>
      </c>
      <c r="E161" s="502">
        <f t="shared" si="30"/>
        <v>4000</v>
      </c>
      <c r="F161" s="445">
        <f t="shared" si="31"/>
        <v>4000</v>
      </c>
      <c r="G161" s="445">
        <f t="shared" si="32"/>
        <v>4000</v>
      </c>
      <c r="H161" s="451">
        <v>4000</v>
      </c>
      <c r="I161" s="445">
        <f t="shared" si="33"/>
        <v>0</v>
      </c>
      <c r="J161" s="451"/>
      <c r="K161" s="451"/>
      <c r="L161" s="451"/>
      <c r="M161" s="451"/>
      <c r="N161" s="451"/>
      <c r="O161" s="451"/>
      <c r="P161" s="451"/>
      <c r="Q161" s="451"/>
      <c r="R161" s="451"/>
      <c r="S161" s="445">
        <f t="shared" si="34"/>
        <v>0</v>
      </c>
      <c r="T161" s="451"/>
      <c r="U161" s="451"/>
      <c r="V161" s="451"/>
    </row>
    <row r="162" spans="1:22" s="441" customFormat="1" ht="75">
      <c r="A162" s="570"/>
      <c r="B162" s="570"/>
      <c r="C162" s="589">
        <v>4400</v>
      </c>
      <c r="D162" s="450" t="s">
        <v>592</v>
      </c>
      <c r="E162" s="502">
        <f t="shared" si="30"/>
        <v>766000</v>
      </c>
      <c r="F162" s="445">
        <f t="shared" si="31"/>
        <v>766000</v>
      </c>
      <c r="G162" s="445">
        <f t="shared" si="32"/>
        <v>766000</v>
      </c>
      <c r="H162" s="451">
        <v>766000</v>
      </c>
      <c r="I162" s="445">
        <f t="shared" si="33"/>
        <v>0</v>
      </c>
      <c r="J162" s="451"/>
      <c r="K162" s="451"/>
      <c r="L162" s="451"/>
      <c r="M162" s="451"/>
      <c r="N162" s="451"/>
      <c r="O162" s="451"/>
      <c r="P162" s="451"/>
      <c r="Q162" s="451"/>
      <c r="R162" s="451"/>
      <c r="S162" s="445">
        <f t="shared" si="34"/>
        <v>0</v>
      </c>
      <c r="T162" s="451"/>
      <c r="U162" s="451"/>
      <c r="V162" s="451"/>
    </row>
    <row r="163" spans="1:22" s="441" customFormat="1" ht="30">
      <c r="A163" s="570"/>
      <c r="B163" s="570"/>
      <c r="C163" s="589">
        <v>4410</v>
      </c>
      <c r="D163" s="450" t="s">
        <v>115</v>
      </c>
      <c r="E163" s="502">
        <f t="shared" si="30"/>
        <v>28000</v>
      </c>
      <c r="F163" s="445">
        <f t="shared" si="31"/>
        <v>28000</v>
      </c>
      <c r="G163" s="445">
        <f t="shared" si="32"/>
        <v>28000</v>
      </c>
      <c r="H163" s="451">
        <v>28000</v>
      </c>
      <c r="I163" s="445">
        <f t="shared" si="33"/>
        <v>0</v>
      </c>
      <c r="J163" s="451"/>
      <c r="K163" s="451"/>
      <c r="L163" s="451"/>
      <c r="M163" s="451"/>
      <c r="N163" s="451"/>
      <c r="O163" s="451"/>
      <c r="P163" s="451"/>
      <c r="Q163" s="451"/>
      <c r="R163" s="451"/>
      <c r="S163" s="445">
        <f t="shared" si="34"/>
        <v>0</v>
      </c>
      <c r="T163" s="451"/>
      <c r="U163" s="451"/>
      <c r="V163" s="451"/>
    </row>
    <row r="164" spans="1:22" s="441" customFormat="1" ht="30">
      <c r="A164" s="570"/>
      <c r="B164" s="570"/>
      <c r="C164" s="589">
        <v>4420</v>
      </c>
      <c r="D164" s="450" t="s">
        <v>588</v>
      </c>
      <c r="E164" s="502">
        <f t="shared" si="30"/>
        <v>0</v>
      </c>
      <c r="F164" s="445">
        <f t="shared" si="31"/>
        <v>0</v>
      </c>
      <c r="G164" s="445">
        <f t="shared" si="32"/>
        <v>0</v>
      </c>
      <c r="H164" s="451">
        <v>0</v>
      </c>
      <c r="I164" s="445">
        <f t="shared" si="33"/>
        <v>0</v>
      </c>
      <c r="J164" s="451"/>
      <c r="K164" s="451"/>
      <c r="L164" s="451"/>
      <c r="M164" s="451"/>
      <c r="N164" s="451"/>
      <c r="O164" s="451"/>
      <c r="P164" s="451"/>
      <c r="Q164" s="451"/>
      <c r="R164" s="451"/>
      <c r="S164" s="445">
        <f t="shared" si="34"/>
        <v>0</v>
      </c>
      <c r="T164" s="451"/>
      <c r="U164" s="451"/>
      <c r="V164" s="451"/>
    </row>
    <row r="165" spans="1:22" s="441" customFormat="1" ht="15.75">
      <c r="A165" s="570"/>
      <c r="B165" s="570"/>
      <c r="C165" s="589">
        <v>4430</v>
      </c>
      <c r="D165" s="450" t="s">
        <v>116</v>
      </c>
      <c r="E165" s="502">
        <f t="shared" si="30"/>
        <v>10000</v>
      </c>
      <c r="F165" s="445">
        <f t="shared" si="31"/>
        <v>10000</v>
      </c>
      <c r="G165" s="445">
        <f t="shared" si="32"/>
        <v>10000</v>
      </c>
      <c r="H165" s="451">
        <v>10000</v>
      </c>
      <c r="I165" s="445">
        <f t="shared" si="33"/>
        <v>0</v>
      </c>
      <c r="J165" s="451"/>
      <c r="K165" s="451"/>
      <c r="L165" s="451"/>
      <c r="M165" s="451"/>
      <c r="N165" s="451"/>
      <c r="O165" s="451"/>
      <c r="P165" s="451"/>
      <c r="Q165" s="451"/>
      <c r="R165" s="451"/>
      <c r="S165" s="445">
        <f t="shared" si="34"/>
        <v>0</v>
      </c>
      <c r="T165" s="451"/>
      <c r="U165" s="451"/>
      <c r="V165" s="451"/>
    </row>
    <row r="166" spans="1:22" s="441" customFormat="1" ht="45">
      <c r="A166" s="570"/>
      <c r="B166" s="570"/>
      <c r="C166" s="589">
        <v>4440</v>
      </c>
      <c r="D166" s="450" t="s">
        <v>117</v>
      </c>
      <c r="E166" s="502">
        <f t="shared" si="30"/>
        <v>87076</v>
      </c>
      <c r="F166" s="445">
        <f t="shared" si="31"/>
        <v>87076</v>
      </c>
      <c r="G166" s="445">
        <f t="shared" si="32"/>
        <v>87076</v>
      </c>
      <c r="H166" s="451">
        <v>87076</v>
      </c>
      <c r="I166" s="445">
        <f t="shared" si="33"/>
        <v>0</v>
      </c>
      <c r="J166" s="451"/>
      <c r="K166" s="451"/>
      <c r="L166" s="451"/>
      <c r="M166" s="451"/>
      <c r="N166" s="451"/>
      <c r="O166" s="451"/>
      <c r="P166" s="451"/>
      <c r="Q166" s="451"/>
      <c r="R166" s="451"/>
      <c r="S166" s="445">
        <f t="shared" si="34"/>
        <v>0</v>
      </c>
      <c r="T166" s="451"/>
      <c r="U166" s="451"/>
      <c r="V166" s="451"/>
    </row>
    <row r="167" spans="1:22" s="441" customFormat="1" ht="30">
      <c r="A167" s="570"/>
      <c r="B167" s="570"/>
      <c r="C167" s="589">
        <v>4510</v>
      </c>
      <c r="D167" s="450" t="s">
        <v>420</v>
      </c>
      <c r="E167" s="502">
        <f t="shared" si="30"/>
        <v>1000</v>
      </c>
      <c r="F167" s="445">
        <f t="shared" si="31"/>
        <v>1000</v>
      </c>
      <c r="G167" s="445">
        <f t="shared" si="32"/>
        <v>1000</v>
      </c>
      <c r="H167" s="451">
        <v>1000</v>
      </c>
      <c r="I167" s="445">
        <f t="shared" si="33"/>
        <v>0</v>
      </c>
      <c r="J167" s="451"/>
      <c r="K167" s="451"/>
      <c r="L167" s="451"/>
      <c r="M167" s="451"/>
      <c r="N167" s="451"/>
      <c r="O167" s="451"/>
      <c r="P167" s="451"/>
      <c r="Q167" s="451"/>
      <c r="R167" s="451"/>
      <c r="S167" s="445">
        <f t="shared" si="34"/>
        <v>0</v>
      </c>
      <c r="T167" s="451"/>
      <c r="U167" s="451"/>
      <c r="V167" s="451"/>
    </row>
    <row r="168" spans="1:22" s="441" customFormat="1" ht="45">
      <c r="A168" s="570"/>
      <c r="B168" s="570"/>
      <c r="C168" s="589">
        <v>4610</v>
      </c>
      <c r="D168" s="450" t="s">
        <v>211</v>
      </c>
      <c r="E168" s="502">
        <f t="shared" si="30"/>
        <v>500</v>
      </c>
      <c r="F168" s="445">
        <f t="shared" si="31"/>
        <v>500</v>
      </c>
      <c r="G168" s="445">
        <f t="shared" si="32"/>
        <v>500</v>
      </c>
      <c r="H168" s="451">
        <v>500</v>
      </c>
      <c r="I168" s="445">
        <f t="shared" si="33"/>
        <v>0</v>
      </c>
      <c r="J168" s="451"/>
      <c r="K168" s="451"/>
      <c r="L168" s="451"/>
      <c r="M168" s="451"/>
      <c r="N168" s="451"/>
      <c r="O168" s="451"/>
      <c r="P168" s="451"/>
      <c r="Q168" s="451"/>
      <c r="R168" s="451"/>
      <c r="S168" s="445">
        <f t="shared" si="34"/>
        <v>0</v>
      </c>
      <c r="T168" s="451"/>
      <c r="U168" s="451"/>
      <c r="V168" s="451"/>
    </row>
    <row r="169" spans="1:22" s="441" customFormat="1" ht="45">
      <c r="A169" s="570"/>
      <c r="B169" s="570"/>
      <c r="C169" s="589">
        <v>4700</v>
      </c>
      <c r="D169" s="450" t="s">
        <v>385</v>
      </c>
      <c r="E169" s="502">
        <f t="shared" si="30"/>
        <v>25000</v>
      </c>
      <c r="F169" s="445">
        <f t="shared" si="31"/>
        <v>25000</v>
      </c>
      <c r="G169" s="445">
        <f t="shared" si="32"/>
        <v>25000</v>
      </c>
      <c r="H169" s="451">
        <v>25000</v>
      </c>
      <c r="I169" s="445">
        <f t="shared" si="33"/>
        <v>0</v>
      </c>
      <c r="J169" s="451"/>
      <c r="K169" s="451"/>
      <c r="L169" s="451"/>
      <c r="M169" s="451"/>
      <c r="N169" s="451"/>
      <c r="O169" s="451"/>
      <c r="P169" s="451"/>
      <c r="Q169" s="451"/>
      <c r="R169" s="451"/>
      <c r="S169" s="445">
        <f t="shared" si="34"/>
        <v>0</v>
      </c>
      <c r="T169" s="451"/>
      <c r="U169" s="451"/>
      <c r="V169" s="451"/>
    </row>
    <row r="170" spans="1:22" s="441" customFormat="1" ht="60">
      <c r="A170" s="570"/>
      <c r="B170" s="570"/>
      <c r="C170" s="589">
        <v>4740</v>
      </c>
      <c r="D170" s="450" t="s">
        <v>199</v>
      </c>
      <c r="E170" s="502">
        <f t="shared" si="30"/>
        <v>16000</v>
      </c>
      <c r="F170" s="445">
        <f t="shared" si="31"/>
        <v>16000</v>
      </c>
      <c r="G170" s="445">
        <f t="shared" si="32"/>
        <v>16000</v>
      </c>
      <c r="H170" s="451">
        <v>16000</v>
      </c>
      <c r="I170" s="445">
        <f t="shared" si="33"/>
        <v>0</v>
      </c>
      <c r="J170" s="451"/>
      <c r="K170" s="451"/>
      <c r="L170" s="451"/>
      <c r="M170" s="451"/>
      <c r="N170" s="451"/>
      <c r="O170" s="451"/>
      <c r="P170" s="451"/>
      <c r="Q170" s="451"/>
      <c r="R170" s="451"/>
      <c r="S170" s="445">
        <f t="shared" si="34"/>
        <v>0</v>
      </c>
      <c r="T170" s="451"/>
      <c r="U170" s="451"/>
      <c r="V170" s="451"/>
    </row>
    <row r="171" spans="1:22" s="441" customFormat="1" ht="45" customHeight="1">
      <c r="A171" s="570"/>
      <c r="B171" s="570"/>
      <c r="C171" s="589">
        <v>4750</v>
      </c>
      <c r="D171" s="450" t="s">
        <v>200</v>
      </c>
      <c r="E171" s="502">
        <f t="shared" si="30"/>
        <v>81000</v>
      </c>
      <c r="F171" s="445">
        <f t="shared" si="31"/>
        <v>81000</v>
      </c>
      <c r="G171" s="445">
        <f t="shared" si="32"/>
        <v>81000</v>
      </c>
      <c r="H171" s="451">
        <v>81000</v>
      </c>
      <c r="I171" s="445">
        <f t="shared" si="33"/>
        <v>0</v>
      </c>
      <c r="J171" s="451"/>
      <c r="K171" s="451"/>
      <c r="L171" s="451"/>
      <c r="M171" s="451"/>
      <c r="N171" s="451"/>
      <c r="O171" s="451"/>
      <c r="P171" s="451"/>
      <c r="Q171" s="451"/>
      <c r="R171" s="451"/>
      <c r="S171" s="445">
        <f t="shared" si="34"/>
        <v>0</v>
      </c>
      <c r="T171" s="451"/>
      <c r="U171" s="451"/>
      <c r="V171" s="451"/>
    </row>
    <row r="172" spans="1:22" s="441" customFormat="1" ht="30">
      <c r="A172" s="570"/>
      <c r="B172" s="570"/>
      <c r="C172" s="589">
        <v>6050</v>
      </c>
      <c r="D172" s="453" t="s">
        <v>220</v>
      </c>
      <c r="E172" s="502">
        <f t="shared" si="30"/>
        <v>145500</v>
      </c>
      <c r="F172" s="445">
        <f t="shared" si="31"/>
        <v>0</v>
      </c>
      <c r="G172" s="445">
        <f t="shared" si="32"/>
        <v>0</v>
      </c>
      <c r="H172" s="451"/>
      <c r="I172" s="445">
        <f t="shared" si="33"/>
        <v>0</v>
      </c>
      <c r="J172" s="451"/>
      <c r="K172" s="451"/>
      <c r="L172" s="451"/>
      <c r="M172" s="451"/>
      <c r="N172" s="451"/>
      <c r="O172" s="451"/>
      <c r="P172" s="451"/>
      <c r="Q172" s="451"/>
      <c r="R172" s="451"/>
      <c r="S172" s="445">
        <f t="shared" si="34"/>
        <v>145500</v>
      </c>
      <c r="T172" s="451">
        <v>145500</v>
      </c>
      <c r="U172" s="451"/>
      <c r="V172" s="451"/>
    </row>
    <row r="173" spans="1:22" s="441" customFormat="1" ht="45">
      <c r="A173" s="570"/>
      <c r="B173" s="570"/>
      <c r="C173" s="589">
        <v>6060</v>
      </c>
      <c r="D173" s="453" t="s">
        <v>387</v>
      </c>
      <c r="E173" s="502">
        <f t="shared" si="30"/>
        <v>51000</v>
      </c>
      <c r="F173" s="445">
        <f t="shared" si="31"/>
        <v>0</v>
      </c>
      <c r="G173" s="445">
        <f t="shared" si="32"/>
        <v>0</v>
      </c>
      <c r="H173" s="451"/>
      <c r="I173" s="445">
        <f t="shared" si="33"/>
        <v>0</v>
      </c>
      <c r="J173" s="451"/>
      <c r="K173" s="451"/>
      <c r="L173" s="451"/>
      <c r="M173" s="451"/>
      <c r="N173" s="451"/>
      <c r="O173" s="451"/>
      <c r="P173" s="451"/>
      <c r="Q173" s="451"/>
      <c r="R173" s="451"/>
      <c r="S173" s="445">
        <f t="shared" si="34"/>
        <v>51000</v>
      </c>
      <c r="T173" s="451">
        <v>51000</v>
      </c>
      <c r="U173" s="451"/>
      <c r="V173" s="451"/>
    </row>
    <row r="174" spans="1:22" s="449" customFormat="1" ht="31.5">
      <c r="A174" s="571"/>
      <c r="B174" s="571">
        <v>75045</v>
      </c>
      <c r="C174" s="588"/>
      <c r="D174" s="262" t="s">
        <v>188</v>
      </c>
      <c r="E174" s="502">
        <f t="shared" si="30"/>
        <v>58760</v>
      </c>
      <c r="F174" s="445">
        <f t="shared" si="31"/>
        <v>58760</v>
      </c>
      <c r="G174" s="445">
        <f t="shared" si="32"/>
        <v>47690</v>
      </c>
      <c r="H174" s="448">
        <f>SUM(H175:H188)</f>
        <v>40543</v>
      </c>
      <c r="I174" s="445">
        <f t="shared" si="33"/>
        <v>7147</v>
      </c>
      <c r="J174" s="448">
        <f>SUM(J175:J188)</f>
        <v>0</v>
      </c>
      <c r="K174" s="448">
        <f aca="true" t="shared" si="35" ref="K174:R174">SUM(K175:K188)</f>
        <v>0</v>
      </c>
      <c r="L174" s="448">
        <f t="shared" si="35"/>
        <v>547</v>
      </c>
      <c r="M174" s="448">
        <f t="shared" si="35"/>
        <v>6600</v>
      </c>
      <c r="N174" s="448">
        <f t="shared" si="35"/>
        <v>11070</v>
      </c>
      <c r="O174" s="448">
        <f t="shared" si="35"/>
        <v>0</v>
      </c>
      <c r="P174" s="448">
        <f>SUM(P175:P188)</f>
        <v>0</v>
      </c>
      <c r="Q174" s="448">
        <f t="shared" si="35"/>
        <v>0</v>
      </c>
      <c r="R174" s="448">
        <f t="shared" si="35"/>
        <v>0</v>
      </c>
      <c r="S174" s="445">
        <f t="shared" si="34"/>
        <v>0</v>
      </c>
      <c r="T174" s="448">
        <f>SUM(T175:T188)</f>
        <v>0</v>
      </c>
      <c r="U174" s="448">
        <f>SUM(U175:U188)</f>
        <v>0</v>
      </c>
      <c r="V174" s="448">
        <f>SUM(V175:V188)</f>
        <v>0</v>
      </c>
    </row>
    <row r="175" spans="1:22" s="441" customFormat="1" ht="30">
      <c r="A175" s="570"/>
      <c r="B175" s="570"/>
      <c r="C175" s="589">
        <v>3030</v>
      </c>
      <c r="D175" s="450" t="s">
        <v>206</v>
      </c>
      <c r="E175" s="502">
        <f t="shared" si="30"/>
        <v>11070</v>
      </c>
      <c r="F175" s="445">
        <f t="shared" si="31"/>
        <v>11070</v>
      </c>
      <c r="G175" s="445">
        <f t="shared" si="32"/>
        <v>0</v>
      </c>
      <c r="H175" s="451"/>
      <c r="I175" s="445">
        <f t="shared" si="33"/>
        <v>0</v>
      </c>
      <c r="J175" s="451"/>
      <c r="K175" s="451"/>
      <c r="L175" s="451"/>
      <c r="M175" s="451"/>
      <c r="N175" s="451">
        <v>11070</v>
      </c>
      <c r="O175" s="451"/>
      <c r="P175" s="451"/>
      <c r="Q175" s="451"/>
      <c r="R175" s="451"/>
      <c r="S175" s="445">
        <f t="shared" si="34"/>
        <v>0</v>
      </c>
      <c r="T175" s="451"/>
      <c r="U175" s="451"/>
      <c r="V175" s="451"/>
    </row>
    <row r="176" spans="1:22" s="441" customFormat="1" ht="45">
      <c r="A176" s="570"/>
      <c r="B176" s="570"/>
      <c r="C176" s="589">
        <v>4110</v>
      </c>
      <c r="D176" s="450" t="s">
        <v>104</v>
      </c>
      <c r="E176" s="502">
        <f t="shared" si="30"/>
        <v>471</v>
      </c>
      <c r="F176" s="445">
        <f t="shared" si="31"/>
        <v>471</v>
      </c>
      <c r="G176" s="445">
        <f t="shared" si="32"/>
        <v>471</v>
      </c>
      <c r="H176" s="451"/>
      <c r="I176" s="445">
        <f t="shared" si="33"/>
        <v>471</v>
      </c>
      <c r="J176" s="451"/>
      <c r="K176" s="451"/>
      <c r="L176" s="451">
        <v>471</v>
      </c>
      <c r="M176" s="451"/>
      <c r="N176" s="451"/>
      <c r="O176" s="451"/>
      <c r="P176" s="451"/>
      <c r="Q176" s="451"/>
      <c r="R176" s="451"/>
      <c r="S176" s="445">
        <f t="shared" si="34"/>
        <v>0</v>
      </c>
      <c r="T176" s="451"/>
      <c r="U176" s="451"/>
      <c r="V176" s="451"/>
    </row>
    <row r="177" spans="1:22" s="441" customFormat="1" ht="36" customHeight="1">
      <c r="A177" s="570"/>
      <c r="B177" s="570"/>
      <c r="C177" s="589">
        <v>4170</v>
      </c>
      <c r="D177" s="450" t="s">
        <v>196</v>
      </c>
      <c r="E177" s="502">
        <f t="shared" si="30"/>
        <v>6600</v>
      </c>
      <c r="F177" s="445">
        <f t="shared" si="31"/>
        <v>6600</v>
      </c>
      <c r="G177" s="445">
        <f t="shared" si="32"/>
        <v>6600</v>
      </c>
      <c r="H177" s="451"/>
      <c r="I177" s="445">
        <f t="shared" si="33"/>
        <v>6600</v>
      </c>
      <c r="J177" s="451"/>
      <c r="K177" s="451"/>
      <c r="L177" s="451"/>
      <c r="M177" s="451">
        <v>6600</v>
      </c>
      <c r="N177" s="451"/>
      <c r="O177" s="451"/>
      <c r="P177" s="451"/>
      <c r="Q177" s="451"/>
      <c r="R177" s="451"/>
      <c r="S177" s="445">
        <f t="shared" si="34"/>
        <v>0</v>
      </c>
      <c r="T177" s="451"/>
      <c r="U177" s="451"/>
      <c r="V177" s="451"/>
    </row>
    <row r="178" spans="1:22" s="441" customFormat="1" ht="30">
      <c r="A178" s="570"/>
      <c r="B178" s="570"/>
      <c r="C178" s="589">
        <v>4120</v>
      </c>
      <c r="D178" s="450" t="s">
        <v>105</v>
      </c>
      <c r="E178" s="502">
        <f t="shared" si="30"/>
        <v>76</v>
      </c>
      <c r="F178" s="445">
        <f t="shared" si="31"/>
        <v>76</v>
      </c>
      <c r="G178" s="445">
        <f t="shared" si="32"/>
        <v>76</v>
      </c>
      <c r="H178" s="451"/>
      <c r="I178" s="445">
        <f t="shared" si="33"/>
        <v>76</v>
      </c>
      <c r="J178" s="451"/>
      <c r="K178" s="451"/>
      <c r="L178" s="451">
        <v>76</v>
      </c>
      <c r="M178" s="451"/>
      <c r="N178" s="451"/>
      <c r="O178" s="451"/>
      <c r="P178" s="451"/>
      <c r="Q178" s="451"/>
      <c r="R178" s="451"/>
      <c r="S178" s="445">
        <f t="shared" si="34"/>
        <v>0</v>
      </c>
      <c r="T178" s="451"/>
      <c r="U178" s="451"/>
      <c r="V178" s="451"/>
    </row>
    <row r="179" spans="1:22" s="441" customFormat="1" ht="30">
      <c r="A179" s="570"/>
      <c r="B179" s="570"/>
      <c r="C179" s="589">
        <v>4210</v>
      </c>
      <c r="D179" s="450" t="s">
        <v>107</v>
      </c>
      <c r="E179" s="502">
        <f t="shared" si="30"/>
        <v>10451</v>
      </c>
      <c r="F179" s="445">
        <f t="shared" si="31"/>
        <v>10451</v>
      </c>
      <c r="G179" s="445">
        <f t="shared" si="32"/>
        <v>10451</v>
      </c>
      <c r="H179" s="451">
        <v>10451</v>
      </c>
      <c r="I179" s="445">
        <f t="shared" si="33"/>
        <v>0</v>
      </c>
      <c r="J179" s="451"/>
      <c r="K179" s="451"/>
      <c r="L179" s="451"/>
      <c r="M179" s="451"/>
      <c r="N179" s="451"/>
      <c r="O179" s="451"/>
      <c r="P179" s="451"/>
      <c r="Q179" s="451"/>
      <c r="R179" s="451"/>
      <c r="S179" s="445">
        <f t="shared" si="34"/>
        <v>0</v>
      </c>
      <c r="T179" s="451"/>
      <c r="U179" s="451"/>
      <c r="V179" s="451"/>
    </row>
    <row r="180" spans="1:22" s="441" customFormat="1" ht="45">
      <c r="A180" s="570"/>
      <c r="B180" s="570"/>
      <c r="C180" s="589">
        <v>4230</v>
      </c>
      <c r="D180" s="450" t="s">
        <v>590</v>
      </c>
      <c r="E180" s="502">
        <f t="shared" si="30"/>
        <v>234</v>
      </c>
      <c r="F180" s="445">
        <f t="shared" si="31"/>
        <v>234</v>
      </c>
      <c r="G180" s="445">
        <f t="shared" si="32"/>
        <v>234</v>
      </c>
      <c r="H180" s="451">
        <v>234</v>
      </c>
      <c r="I180" s="445">
        <f t="shared" si="33"/>
        <v>0</v>
      </c>
      <c r="J180" s="451"/>
      <c r="K180" s="451"/>
      <c r="L180" s="451"/>
      <c r="M180" s="451"/>
      <c r="N180" s="451"/>
      <c r="O180" s="451"/>
      <c r="P180" s="451"/>
      <c r="Q180" s="451"/>
      <c r="R180" s="451"/>
      <c r="S180" s="445">
        <f t="shared" si="34"/>
        <v>0</v>
      </c>
      <c r="T180" s="451"/>
      <c r="U180" s="451"/>
      <c r="V180" s="451"/>
    </row>
    <row r="181" spans="1:22" s="441" customFormat="1" ht="30">
      <c r="A181" s="570"/>
      <c r="B181" s="570"/>
      <c r="C181" s="589">
        <v>4270</v>
      </c>
      <c r="D181" s="450" t="s">
        <v>109</v>
      </c>
      <c r="E181" s="502">
        <f t="shared" si="30"/>
        <v>0</v>
      </c>
      <c r="F181" s="445">
        <f t="shared" si="31"/>
        <v>0</v>
      </c>
      <c r="G181" s="445">
        <f t="shared" si="32"/>
        <v>0</v>
      </c>
      <c r="H181" s="451"/>
      <c r="I181" s="445">
        <f t="shared" si="33"/>
        <v>0</v>
      </c>
      <c r="J181" s="451"/>
      <c r="K181" s="451"/>
      <c r="L181" s="451"/>
      <c r="M181" s="451"/>
      <c r="N181" s="451"/>
      <c r="O181" s="451"/>
      <c r="P181" s="451"/>
      <c r="Q181" s="451"/>
      <c r="R181" s="451"/>
      <c r="S181" s="445">
        <f t="shared" si="34"/>
        <v>0</v>
      </c>
      <c r="T181" s="451"/>
      <c r="U181" s="451"/>
      <c r="V181" s="451"/>
    </row>
    <row r="182" spans="1:22" s="441" customFormat="1" ht="37.5" customHeight="1">
      <c r="A182" s="570"/>
      <c r="B182" s="570"/>
      <c r="C182" s="589">
        <v>4280</v>
      </c>
      <c r="D182" s="450" t="s">
        <v>197</v>
      </c>
      <c r="E182" s="502">
        <f t="shared" si="30"/>
        <v>22766</v>
      </c>
      <c r="F182" s="445">
        <f t="shared" si="31"/>
        <v>22766</v>
      </c>
      <c r="G182" s="445">
        <f t="shared" si="32"/>
        <v>22766</v>
      </c>
      <c r="H182" s="451">
        <v>22766</v>
      </c>
      <c r="I182" s="445">
        <f t="shared" si="33"/>
        <v>0</v>
      </c>
      <c r="J182" s="451"/>
      <c r="K182" s="451"/>
      <c r="L182" s="451"/>
      <c r="M182" s="451"/>
      <c r="N182" s="451"/>
      <c r="O182" s="451"/>
      <c r="P182" s="451"/>
      <c r="Q182" s="451"/>
      <c r="R182" s="451"/>
      <c r="S182" s="445">
        <f t="shared" si="34"/>
        <v>0</v>
      </c>
      <c r="T182" s="451"/>
      <c r="U182" s="451"/>
      <c r="V182" s="451"/>
    </row>
    <row r="183" spans="1:22" s="441" customFormat="1" ht="61.5" customHeight="1">
      <c r="A183" s="570"/>
      <c r="B183" s="570"/>
      <c r="C183" s="589">
        <v>4400</v>
      </c>
      <c r="D183" s="450" t="s">
        <v>592</v>
      </c>
      <c r="E183" s="502">
        <f t="shared" si="30"/>
        <v>5002</v>
      </c>
      <c r="F183" s="445">
        <f t="shared" si="31"/>
        <v>5002</v>
      </c>
      <c r="G183" s="445">
        <f t="shared" si="32"/>
        <v>5002</v>
      </c>
      <c r="H183" s="451">
        <v>5002</v>
      </c>
      <c r="I183" s="445">
        <f t="shared" si="33"/>
        <v>0</v>
      </c>
      <c r="J183" s="451"/>
      <c r="K183" s="451"/>
      <c r="L183" s="451"/>
      <c r="M183" s="451"/>
      <c r="N183" s="451"/>
      <c r="O183" s="451"/>
      <c r="P183" s="451"/>
      <c r="Q183" s="451"/>
      <c r="R183" s="451"/>
      <c r="S183" s="445">
        <f t="shared" si="34"/>
        <v>0</v>
      </c>
      <c r="T183" s="451"/>
      <c r="U183" s="451"/>
      <c r="V183" s="451"/>
    </row>
    <row r="184" spans="1:22" s="441" customFormat="1" ht="30">
      <c r="A184" s="570"/>
      <c r="B184" s="570"/>
      <c r="C184" s="589">
        <v>4300</v>
      </c>
      <c r="D184" s="450" t="s">
        <v>90</v>
      </c>
      <c r="E184" s="502">
        <f t="shared" si="30"/>
        <v>760</v>
      </c>
      <c r="F184" s="445">
        <f t="shared" si="31"/>
        <v>760</v>
      </c>
      <c r="G184" s="445">
        <f t="shared" si="32"/>
        <v>760</v>
      </c>
      <c r="H184" s="451">
        <v>760</v>
      </c>
      <c r="I184" s="445">
        <f t="shared" si="33"/>
        <v>0</v>
      </c>
      <c r="J184" s="451"/>
      <c r="K184" s="451"/>
      <c r="L184" s="451"/>
      <c r="M184" s="451"/>
      <c r="N184" s="451"/>
      <c r="O184" s="451"/>
      <c r="P184" s="451"/>
      <c r="Q184" s="451"/>
      <c r="R184" s="451"/>
      <c r="S184" s="445">
        <f t="shared" si="34"/>
        <v>0</v>
      </c>
      <c r="T184" s="451"/>
      <c r="U184" s="451"/>
      <c r="V184" s="451"/>
    </row>
    <row r="185" spans="1:22" s="441" customFormat="1" ht="45">
      <c r="A185" s="570"/>
      <c r="B185" s="570"/>
      <c r="C185" s="589">
        <v>4370</v>
      </c>
      <c r="D185" s="450" t="s">
        <v>388</v>
      </c>
      <c r="E185" s="502">
        <f t="shared" si="30"/>
        <v>49</v>
      </c>
      <c r="F185" s="445">
        <f t="shared" si="31"/>
        <v>49</v>
      </c>
      <c r="G185" s="445">
        <f t="shared" si="32"/>
        <v>49</v>
      </c>
      <c r="H185" s="451">
        <v>49</v>
      </c>
      <c r="I185" s="445">
        <f t="shared" si="33"/>
        <v>0</v>
      </c>
      <c r="J185" s="451"/>
      <c r="K185" s="451"/>
      <c r="L185" s="451"/>
      <c r="M185" s="451"/>
      <c r="N185" s="451"/>
      <c r="O185" s="451"/>
      <c r="P185" s="451"/>
      <c r="Q185" s="451"/>
      <c r="R185" s="451"/>
      <c r="S185" s="445">
        <f t="shared" si="34"/>
        <v>0</v>
      </c>
      <c r="T185" s="451"/>
      <c r="U185" s="451"/>
      <c r="V185" s="451"/>
    </row>
    <row r="186" spans="1:22" s="441" customFormat="1" ht="30" customHeight="1">
      <c r="A186" s="570"/>
      <c r="B186" s="570"/>
      <c r="C186" s="589">
        <v>4410</v>
      </c>
      <c r="D186" s="450" t="s">
        <v>115</v>
      </c>
      <c r="E186" s="502">
        <f t="shared" si="30"/>
        <v>0</v>
      </c>
      <c r="F186" s="445">
        <f t="shared" si="31"/>
        <v>0</v>
      </c>
      <c r="G186" s="445">
        <f t="shared" si="32"/>
        <v>0</v>
      </c>
      <c r="H186" s="451"/>
      <c r="I186" s="445">
        <f t="shared" si="33"/>
        <v>0</v>
      </c>
      <c r="J186" s="451"/>
      <c r="K186" s="451"/>
      <c r="L186" s="451"/>
      <c r="M186" s="451"/>
      <c r="N186" s="451"/>
      <c r="O186" s="451"/>
      <c r="P186" s="451"/>
      <c r="Q186" s="451"/>
      <c r="R186" s="451"/>
      <c r="S186" s="445">
        <f t="shared" si="34"/>
        <v>0</v>
      </c>
      <c r="T186" s="451"/>
      <c r="U186" s="451"/>
      <c r="V186" s="451"/>
    </row>
    <row r="187" spans="1:22" s="441" customFormat="1" ht="45" customHeight="1">
      <c r="A187" s="570"/>
      <c r="B187" s="570"/>
      <c r="C187" s="589">
        <v>4740</v>
      </c>
      <c r="D187" s="450" t="s">
        <v>199</v>
      </c>
      <c r="E187" s="502">
        <f t="shared" si="30"/>
        <v>500</v>
      </c>
      <c r="F187" s="445">
        <f t="shared" si="31"/>
        <v>500</v>
      </c>
      <c r="G187" s="445">
        <f t="shared" si="32"/>
        <v>500</v>
      </c>
      <c r="H187" s="451">
        <v>500</v>
      </c>
      <c r="I187" s="445">
        <f t="shared" si="33"/>
        <v>0</v>
      </c>
      <c r="J187" s="451"/>
      <c r="K187" s="451"/>
      <c r="L187" s="451"/>
      <c r="M187" s="451"/>
      <c r="N187" s="451"/>
      <c r="O187" s="451"/>
      <c r="P187" s="451"/>
      <c r="Q187" s="451"/>
      <c r="R187" s="451"/>
      <c r="S187" s="445">
        <f t="shared" si="34"/>
        <v>0</v>
      </c>
      <c r="T187" s="451"/>
      <c r="U187" s="451"/>
      <c r="V187" s="451"/>
    </row>
    <row r="188" spans="1:22" s="441" customFormat="1" ht="60" customHeight="1">
      <c r="A188" s="570"/>
      <c r="B188" s="570"/>
      <c r="C188" s="589">
        <v>4750</v>
      </c>
      <c r="D188" s="450" t="s">
        <v>200</v>
      </c>
      <c r="E188" s="502">
        <f t="shared" si="30"/>
        <v>781</v>
      </c>
      <c r="F188" s="445">
        <f t="shared" si="31"/>
        <v>781</v>
      </c>
      <c r="G188" s="445">
        <f t="shared" si="32"/>
        <v>781</v>
      </c>
      <c r="H188" s="451">
        <v>781</v>
      </c>
      <c r="I188" s="445">
        <f t="shared" si="33"/>
        <v>0</v>
      </c>
      <c r="J188" s="589"/>
      <c r="K188" s="450"/>
      <c r="L188" s="451"/>
      <c r="M188" s="451"/>
      <c r="N188" s="451"/>
      <c r="O188" s="451"/>
      <c r="P188" s="451"/>
      <c r="Q188" s="451"/>
      <c r="R188" s="451"/>
      <c r="S188" s="445">
        <f t="shared" si="34"/>
        <v>0</v>
      </c>
      <c r="T188" s="451"/>
      <c r="U188" s="451"/>
      <c r="V188" s="451"/>
    </row>
    <row r="189" spans="1:22" s="449" customFormat="1" ht="47.25">
      <c r="A189" s="571"/>
      <c r="B189" s="571">
        <v>75075</v>
      </c>
      <c r="C189" s="588"/>
      <c r="D189" s="262" t="s">
        <v>221</v>
      </c>
      <c r="E189" s="502">
        <f t="shared" si="30"/>
        <v>63000</v>
      </c>
      <c r="F189" s="445">
        <f t="shared" si="31"/>
        <v>63000</v>
      </c>
      <c r="G189" s="445">
        <f t="shared" si="32"/>
        <v>63000</v>
      </c>
      <c r="H189" s="448">
        <f>SUM(H190:H193)</f>
        <v>62312</v>
      </c>
      <c r="I189" s="445">
        <f t="shared" si="33"/>
        <v>688</v>
      </c>
      <c r="J189" s="448">
        <f aca="true" t="shared" si="36" ref="J189:V189">SUM(J190:J193)</f>
        <v>0</v>
      </c>
      <c r="K189" s="448">
        <f t="shared" si="36"/>
        <v>0</v>
      </c>
      <c r="L189" s="448">
        <f t="shared" si="36"/>
        <v>68</v>
      </c>
      <c r="M189" s="448">
        <f t="shared" si="36"/>
        <v>620</v>
      </c>
      <c r="N189" s="448">
        <f t="shared" si="36"/>
        <v>0</v>
      </c>
      <c r="O189" s="448">
        <f t="shared" si="36"/>
        <v>0</v>
      </c>
      <c r="P189" s="448">
        <f t="shared" si="36"/>
        <v>0</v>
      </c>
      <c r="Q189" s="448">
        <f t="shared" si="36"/>
        <v>0</v>
      </c>
      <c r="R189" s="448">
        <f t="shared" si="36"/>
        <v>0</v>
      </c>
      <c r="S189" s="448">
        <f t="shared" si="36"/>
        <v>0</v>
      </c>
      <c r="T189" s="448">
        <f t="shared" si="36"/>
        <v>0</v>
      </c>
      <c r="U189" s="448">
        <f t="shared" si="36"/>
        <v>0</v>
      </c>
      <c r="V189" s="448">
        <f t="shared" si="36"/>
        <v>0</v>
      </c>
    </row>
    <row r="190" spans="1:22" s="449" customFormat="1" ht="24">
      <c r="A190" s="571"/>
      <c r="B190" s="571"/>
      <c r="C190" s="595">
        <v>4110</v>
      </c>
      <c r="D190" s="677" t="s">
        <v>104</v>
      </c>
      <c r="E190" s="502">
        <f t="shared" si="30"/>
        <v>68</v>
      </c>
      <c r="F190" s="445">
        <f t="shared" si="31"/>
        <v>68</v>
      </c>
      <c r="G190" s="445">
        <f t="shared" si="32"/>
        <v>68</v>
      </c>
      <c r="H190" s="448"/>
      <c r="I190" s="445">
        <f t="shared" si="33"/>
        <v>68</v>
      </c>
      <c r="J190" s="448"/>
      <c r="K190" s="448"/>
      <c r="L190" s="448">
        <v>68</v>
      </c>
      <c r="M190" s="448"/>
      <c r="N190" s="448"/>
      <c r="O190" s="448"/>
      <c r="P190" s="448"/>
      <c r="Q190" s="448"/>
      <c r="R190" s="448"/>
      <c r="S190" s="445">
        <f t="shared" si="34"/>
        <v>0</v>
      </c>
      <c r="T190" s="448"/>
      <c r="U190" s="448"/>
      <c r="V190" s="448"/>
    </row>
    <row r="191" spans="1:22" s="449" customFormat="1" ht="15.75">
      <c r="A191" s="571"/>
      <c r="B191" s="571"/>
      <c r="C191" s="595">
        <v>4170</v>
      </c>
      <c r="D191" s="677" t="s">
        <v>196</v>
      </c>
      <c r="E191" s="502">
        <f t="shared" si="30"/>
        <v>620</v>
      </c>
      <c r="F191" s="445">
        <f t="shared" si="31"/>
        <v>620</v>
      </c>
      <c r="G191" s="445">
        <f t="shared" si="32"/>
        <v>620</v>
      </c>
      <c r="H191" s="448"/>
      <c r="I191" s="445">
        <f t="shared" si="33"/>
        <v>620</v>
      </c>
      <c r="J191" s="448"/>
      <c r="K191" s="448"/>
      <c r="L191" s="448"/>
      <c r="M191" s="448">
        <v>620</v>
      </c>
      <c r="N191" s="448"/>
      <c r="O191" s="448"/>
      <c r="P191" s="448"/>
      <c r="Q191" s="448"/>
      <c r="R191" s="448"/>
      <c r="S191" s="445">
        <f t="shared" si="34"/>
        <v>0</v>
      </c>
      <c r="T191" s="448"/>
      <c r="U191" s="448"/>
      <c r="V191" s="448"/>
    </row>
    <row r="192" spans="1:22" s="441" customFormat="1" ht="30">
      <c r="A192" s="570"/>
      <c r="B192" s="570"/>
      <c r="C192" s="589">
        <v>4210</v>
      </c>
      <c r="D192" s="450" t="s">
        <v>107</v>
      </c>
      <c r="E192" s="502">
        <f t="shared" si="30"/>
        <v>6000</v>
      </c>
      <c r="F192" s="445">
        <f t="shared" si="31"/>
        <v>6000</v>
      </c>
      <c r="G192" s="445">
        <f t="shared" si="32"/>
        <v>6000</v>
      </c>
      <c r="H192" s="451">
        <v>6000</v>
      </c>
      <c r="I192" s="445">
        <f t="shared" si="33"/>
        <v>0</v>
      </c>
      <c r="J192" s="451"/>
      <c r="K192" s="451"/>
      <c r="L192" s="451"/>
      <c r="M192" s="451"/>
      <c r="N192" s="451"/>
      <c r="O192" s="451"/>
      <c r="P192" s="451"/>
      <c r="Q192" s="451"/>
      <c r="R192" s="451"/>
      <c r="S192" s="445">
        <f t="shared" si="34"/>
        <v>0</v>
      </c>
      <c r="T192" s="451"/>
      <c r="U192" s="451"/>
      <c r="V192" s="451"/>
    </row>
    <row r="193" spans="1:22" s="441" customFormat="1" ht="30">
      <c r="A193" s="570"/>
      <c r="B193" s="570"/>
      <c r="C193" s="589">
        <v>4300</v>
      </c>
      <c r="D193" s="450" t="s">
        <v>90</v>
      </c>
      <c r="E193" s="502">
        <f t="shared" si="30"/>
        <v>56312</v>
      </c>
      <c r="F193" s="445">
        <f t="shared" si="31"/>
        <v>56312</v>
      </c>
      <c r="G193" s="445">
        <f t="shared" si="32"/>
        <v>56312</v>
      </c>
      <c r="H193" s="451">
        <v>56312</v>
      </c>
      <c r="I193" s="445">
        <f t="shared" si="33"/>
        <v>0</v>
      </c>
      <c r="J193" s="451"/>
      <c r="K193" s="451"/>
      <c r="L193" s="451"/>
      <c r="M193" s="451"/>
      <c r="N193" s="451"/>
      <c r="O193" s="451"/>
      <c r="P193" s="451"/>
      <c r="Q193" s="451"/>
      <c r="R193" s="451"/>
      <c r="S193" s="445">
        <f t="shared" si="34"/>
        <v>0</v>
      </c>
      <c r="T193" s="451"/>
      <c r="U193" s="451"/>
      <c r="V193" s="451"/>
    </row>
    <row r="194" spans="1:22" s="441" customFormat="1" ht="51">
      <c r="A194" s="570">
        <v>751</v>
      </c>
      <c r="B194" s="570"/>
      <c r="C194" s="589"/>
      <c r="D194" s="697" t="s">
        <v>566</v>
      </c>
      <c r="E194" s="502">
        <f t="shared" si="30"/>
        <v>24011</v>
      </c>
      <c r="F194" s="445">
        <f t="shared" si="31"/>
        <v>24011</v>
      </c>
      <c r="G194" s="445">
        <f t="shared" si="32"/>
        <v>22511</v>
      </c>
      <c r="H194" s="445">
        <f>SUM(H195:H195)</f>
        <v>19100</v>
      </c>
      <c r="I194" s="445">
        <f t="shared" si="33"/>
        <v>3411</v>
      </c>
      <c r="J194" s="445">
        <f>SUM(J195)</f>
        <v>0</v>
      </c>
      <c r="K194" s="445">
        <f aca="true" t="shared" si="37" ref="K194:R194">SUM(K195:K195)</f>
        <v>0</v>
      </c>
      <c r="L194" s="445">
        <f t="shared" si="37"/>
        <v>511</v>
      </c>
      <c r="M194" s="445">
        <f t="shared" si="37"/>
        <v>2900</v>
      </c>
      <c r="N194" s="445">
        <f t="shared" si="37"/>
        <v>1500</v>
      </c>
      <c r="O194" s="445">
        <f t="shared" si="37"/>
        <v>0</v>
      </c>
      <c r="P194" s="445">
        <f t="shared" si="37"/>
        <v>0</v>
      </c>
      <c r="Q194" s="445">
        <f t="shared" si="37"/>
        <v>0</v>
      </c>
      <c r="R194" s="445">
        <f t="shared" si="37"/>
        <v>0</v>
      </c>
      <c r="S194" s="445">
        <f t="shared" si="34"/>
        <v>0</v>
      </c>
      <c r="T194" s="445">
        <f>SUM(T198+T216+T226+T258+T273+T195)</f>
        <v>0</v>
      </c>
      <c r="U194" s="445">
        <f>SUM(U198+U216+U226+U258+U273+U195)</f>
        <v>0</v>
      </c>
      <c r="V194" s="445">
        <f>SUM(V198+V216+V226+V258+V273+V195)</f>
        <v>0</v>
      </c>
    </row>
    <row r="195" spans="1:22" s="441" customFormat="1" ht="44.25" customHeight="1">
      <c r="A195" s="570"/>
      <c r="B195" s="570">
        <v>75109</v>
      </c>
      <c r="C195" s="589"/>
      <c r="D195" s="698" t="s">
        <v>567</v>
      </c>
      <c r="E195" s="502">
        <f>F195+S195</f>
        <v>24011</v>
      </c>
      <c r="F195" s="445">
        <f>G195+N195+O195+P195+Q195+R195</f>
        <v>24011</v>
      </c>
      <c r="G195" s="445">
        <f>H195+I195</f>
        <v>22511</v>
      </c>
      <c r="H195" s="448">
        <f>SUM(H196:H204)</f>
        <v>19100</v>
      </c>
      <c r="I195" s="445">
        <f>SUM(J195:M195)</f>
        <v>3411</v>
      </c>
      <c r="J195" s="448">
        <f aca="true" t="shared" si="38" ref="J195:V195">SUM(J196:J204)</f>
        <v>0</v>
      </c>
      <c r="K195" s="448">
        <f t="shared" si="38"/>
        <v>0</v>
      </c>
      <c r="L195" s="448">
        <f t="shared" si="38"/>
        <v>511</v>
      </c>
      <c r="M195" s="448">
        <f t="shared" si="38"/>
        <v>2900</v>
      </c>
      <c r="N195" s="448">
        <f t="shared" si="38"/>
        <v>1500</v>
      </c>
      <c r="O195" s="448">
        <f t="shared" si="38"/>
        <v>0</v>
      </c>
      <c r="P195" s="448">
        <f t="shared" si="38"/>
        <v>0</v>
      </c>
      <c r="Q195" s="448">
        <f t="shared" si="38"/>
        <v>0</v>
      </c>
      <c r="R195" s="448">
        <f t="shared" si="38"/>
        <v>0</v>
      </c>
      <c r="S195" s="448">
        <f t="shared" si="38"/>
        <v>0</v>
      </c>
      <c r="T195" s="448">
        <f t="shared" si="38"/>
        <v>0</v>
      </c>
      <c r="U195" s="448">
        <f t="shared" si="38"/>
        <v>0</v>
      </c>
      <c r="V195" s="448">
        <f t="shared" si="38"/>
        <v>0</v>
      </c>
    </row>
    <row r="196" spans="1:22" s="441" customFormat="1" ht="30">
      <c r="A196" s="570"/>
      <c r="B196" s="570"/>
      <c r="C196" s="589">
        <v>3030</v>
      </c>
      <c r="D196" s="450" t="s">
        <v>206</v>
      </c>
      <c r="E196" s="502">
        <f aca="true" t="shared" si="39" ref="E196:E204">F196+S196</f>
        <v>1500</v>
      </c>
      <c r="F196" s="445">
        <f aca="true" t="shared" si="40" ref="F196:F204">G196+N196+O196+P196+Q196+R196</f>
        <v>1500</v>
      </c>
      <c r="G196" s="445">
        <f aca="true" t="shared" si="41" ref="G196:G204">H196+I196</f>
        <v>0</v>
      </c>
      <c r="H196" s="451"/>
      <c r="I196" s="445">
        <f aca="true" t="shared" si="42" ref="I196:I204">SUM(J196:M196)</f>
        <v>0</v>
      </c>
      <c r="J196" s="451"/>
      <c r="K196" s="451"/>
      <c r="L196" s="451"/>
      <c r="M196" s="451"/>
      <c r="N196" s="451">
        <v>1500</v>
      </c>
      <c r="O196" s="451"/>
      <c r="P196" s="451"/>
      <c r="Q196" s="451"/>
      <c r="R196" s="451"/>
      <c r="S196" s="445">
        <f aca="true" t="shared" si="43" ref="S196:S204">T196+V196</f>
        <v>0</v>
      </c>
      <c r="T196" s="451"/>
      <c r="U196" s="451"/>
      <c r="V196" s="451"/>
    </row>
    <row r="197" spans="1:22" s="441" customFormat="1" ht="24">
      <c r="A197" s="570"/>
      <c r="B197" s="570"/>
      <c r="C197" s="589">
        <v>4110</v>
      </c>
      <c r="D197" s="677" t="s">
        <v>104</v>
      </c>
      <c r="E197" s="502">
        <f t="shared" si="39"/>
        <v>440</v>
      </c>
      <c r="F197" s="445">
        <f t="shared" si="40"/>
        <v>440</v>
      </c>
      <c r="G197" s="445">
        <f t="shared" si="41"/>
        <v>440</v>
      </c>
      <c r="H197" s="448"/>
      <c r="I197" s="445">
        <f t="shared" si="42"/>
        <v>440</v>
      </c>
      <c r="J197" s="448"/>
      <c r="K197" s="448"/>
      <c r="L197" s="451">
        <v>440</v>
      </c>
      <c r="M197" s="448"/>
      <c r="N197" s="448"/>
      <c r="O197" s="448"/>
      <c r="P197" s="448"/>
      <c r="Q197" s="448"/>
      <c r="R197" s="448"/>
      <c r="S197" s="445">
        <f t="shared" si="43"/>
        <v>0</v>
      </c>
      <c r="T197" s="448"/>
      <c r="U197" s="448"/>
      <c r="V197" s="448"/>
    </row>
    <row r="198" spans="1:22" s="441" customFormat="1" ht="30">
      <c r="A198" s="570"/>
      <c r="B198" s="570"/>
      <c r="C198" s="589">
        <v>4120</v>
      </c>
      <c r="D198" s="450" t="s">
        <v>105</v>
      </c>
      <c r="E198" s="502">
        <f t="shared" si="39"/>
        <v>71</v>
      </c>
      <c r="F198" s="445">
        <f t="shared" si="40"/>
        <v>71</v>
      </c>
      <c r="G198" s="445">
        <f t="shared" si="41"/>
        <v>71</v>
      </c>
      <c r="H198" s="451"/>
      <c r="I198" s="445">
        <f t="shared" si="42"/>
        <v>71</v>
      </c>
      <c r="J198" s="451"/>
      <c r="K198" s="451"/>
      <c r="L198" s="451">
        <v>71</v>
      </c>
      <c r="M198" s="451"/>
      <c r="N198" s="451"/>
      <c r="O198" s="451"/>
      <c r="P198" s="451"/>
      <c r="Q198" s="451"/>
      <c r="R198" s="451"/>
      <c r="S198" s="445">
        <f t="shared" si="43"/>
        <v>0</v>
      </c>
      <c r="T198" s="451"/>
      <c r="U198" s="451"/>
      <c r="V198" s="451"/>
    </row>
    <row r="199" spans="1:22" s="441" customFormat="1" ht="15.75">
      <c r="A199" s="570"/>
      <c r="B199" s="570"/>
      <c r="C199" s="589">
        <v>4170</v>
      </c>
      <c r="D199" s="677" t="s">
        <v>196</v>
      </c>
      <c r="E199" s="502">
        <f t="shared" si="39"/>
        <v>2900</v>
      </c>
      <c r="F199" s="445">
        <f t="shared" si="40"/>
        <v>2900</v>
      </c>
      <c r="G199" s="445">
        <f t="shared" si="41"/>
        <v>2900</v>
      </c>
      <c r="H199" s="448"/>
      <c r="I199" s="445">
        <f t="shared" si="42"/>
        <v>2900</v>
      </c>
      <c r="J199" s="448"/>
      <c r="K199" s="448"/>
      <c r="L199" s="448"/>
      <c r="M199" s="451">
        <v>2900</v>
      </c>
      <c r="N199" s="448"/>
      <c r="O199" s="448"/>
      <c r="P199" s="448"/>
      <c r="Q199" s="448"/>
      <c r="R199" s="448"/>
      <c r="S199" s="445">
        <f t="shared" si="43"/>
        <v>0</v>
      </c>
      <c r="T199" s="448"/>
      <c r="U199" s="448"/>
      <c r="V199" s="448"/>
    </row>
    <row r="200" spans="1:22" s="441" customFormat="1" ht="30">
      <c r="A200" s="570"/>
      <c r="B200" s="570"/>
      <c r="C200" s="589">
        <v>4210</v>
      </c>
      <c r="D200" s="450" t="s">
        <v>107</v>
      </c>
      <c r="E200" s="502">
        <f t="shared" si="39"/>
        <v>8000</v>
      </c>
      <c r="F200" s="445">
        <f t="shared" si="40"/>
        <v>8000</v>
      </c>
      <c r="G200" s="445">
        <f t="shared" si="41"/>
        <v>8000</v>
      </c>
      <c r="H200" s="451">
        <v>8000</v>
      </c>
      <c r="I200" s="445">
        <f t="shared" si="42"/>
        <v>0</v>
      </c>
      <c r="J200" s="451"/>
      <c r="K200" s="451"/>
      <c r="L200" s="451"/>
      <c r="M200" s="451"/>
      <c r="N200" s="451"/>
      <c r="O200" s="451"/>
      <c r="P200" s="451"/>
      <c r="Q200" s="451"/>
      <c r="R200" s="451"/>
      <c r="S200" s="445">
        <f t="shared" si="43"/>
        <v>0</v>
      </c>
      <c r="T200" s="451"/>
      <c r="U200" s="451"/>
      <c r="V200" s="451"/>
    </row>
    <row r="201" spans="1:22" s="441" customFormat="1" ht="30">
      <c r="A201" s="570"/>
      <c r="B201" s="570"/>
      <c r="C201" s="589">
        <v>4300</v>
      </c>
      <c r="D201" s="450" t="s">
        <v>90</v>
      </c>
      <c r="E201" s="502">
        <f t="shared" si="39"/>
        <v>7000</v>
      </c>
      <c r="F201" s="445">
        <f t="shared" si="40"/>
        <v>7000</v>
      </c>
      <c r="G201" s="445">
        <f t="shared" si="41"/>
        <v>7000</v>
      </c>
      <c r="H201" s="451">
        <v>7000</v>
      </c>
      <c r="I201" s="445">
        <f t="shared" si="42"/>
        <v>0</v>
      </c>
      <c r="J201" s="451"/>
      <c r="K201" s="451"/>
      <c r="L201" s="451"/>
      <c r="M201" s="451"/>
      <c r="N201" s="451"/>
      <c r="O201" s="451"/>
      <c r="P201" s="451"/>
      <c r="Q201" s="451"/>
      <c r="R201" s="451"/>
      <c r="S201" s="445">
        <f t="shared" si="43"/>
        <v>0</v>
      </c>
      <c r="T201" s="451"/>
      <c r="U201" s="451"/>
      <c r="V201" s="451"/>
    </row>
    <row r="202" spans="1:22" s="441" customFormat="1" ht="30">
      <c r="A202" s="570"/>
      <c r="B202" s="570"/>
      <c r="C202" s="589">
        <v>4410</v>
      </c>
      <c r="D202" s="450" t="s">
        <v>115</v>
      </c>
      <c r="E202" s="502">
        <f t="shared" si="39"/>
        <v>1500</v>
      </c>
      <c r="F202" s="445">
        <f t="shared" si="40"/>
        <v>1500</v>
      </c>
      <c r="G202" s="445">
        <f t="shared" si="41"/>
        <v>1500</v>
      </c>
      <c r="H202" s="451">
        <v>1500</v>
      </c>
      <c r="I202" s="445">
        <f t="shared" si="42"/>
        <v>0</v>
      </c>
      <c r="J202" s="451"/>
      <c r="K202" s="451"/>
      <c r="L202" s="451"/>
      <c r="M202" s="451"/>
      <c r="N202" s="451"/>
      <c r="O202" s="451"/>
      <c r="P202" s="451"/>
      <c r="Q202" s="451"/>
      <c r="R202" s="451"/>
      <c r="S202" s="445">
        <f t="shared" si="43"/>
        <v>0</v>
      </c>
      <c r="T202" s="451"/>
      <c r="U202" s="451"/>
      <c r="V202" s="451"/>
    </row>
    <row r="203" spans="1:22" s="441" customFormat="1" ht="60">
      <c r="A203" s="570"/>
      <c r="B203" s="570"/>
      <c r="C203" s="589">
        <v>4740</v>
      </c>
      <c r="D203" s="450" t="s">
        <v>199</v>
      </c>
      <c r="E203" s="502">
        <f t="shared" si="39"/>
        <v>600</v>
      </c>
      <c r="F203" s="445">
        <f t="shared" si="40"/>
        <v>600</v>
      </c>
      <c r="G203" s="445">
        <f t="shared" si="41"/>
        <v>600</v>
      </c>
      <c r="H203" s="451">
        <v>600</v>
      </c>
      <c r="I203" s="445">
        <f t="shared" si="42"/>
        <v>0</v>
      </c>
      <c r="J203" s="451"/>
      <c r="K203" s="451"/>
      <c r="L203" s="451"/>
      <c r="M203" s="451"/>
      <c r="N203" s="451"/>
      <c r="O203" s="451"/>
      <c r="P203" s="451"/>
      <c r="Q203" s="451"/>
      <c r="R203" s="451"/>
      <c r="S203" s="445">
        <f t="shared" si="43"/>
        <v>0</v>
      </c>
      <c r="T203" s="451"/>
      <c r="U203" s="451"/>
      <c r="V203" s="451"/>
    </row>
    <row r="204" spans="1:22" s="441" customFormat="1" ht="45">
      <c r="A204" s="570"/>
      <c r="B204" s="570"/>
      <c r="C204" s="589">
        <v>4750</v>
      </c>
      <c r="D204" s="450" t="s">
        <v>200</v>
      </c>
      <c r="E204" s="502">
        <f t="shared" si="39"/>
        <v>2000</v>
      </c>
      <c r="F204" s="445">
        <f t="shared" si="40"/>
        <v>2000</v>
      </c>
      <c r="G204" s="445">
        <f t="shared" si="41"/>
        <v>2000</v>
      </c>
      <c r="H204" s="451">
        <v>2000</v>
      </c>
      <c r="I204" s="445">
        <f t="shared" si="42"/>
        <v>0</v>
      </c>
      <c r="J204" s="589"/>
      <c r="K204" s="450"/>
      <c r="L204" s="451"/>
      <c r="M204" s="451"/>
      <c r="N204" s="451"/>
      <c r="O204" s="451"/>
      <c r="P204" s="451"/>
      <c r="Q204" s="451"/>
      <c r="R204" s="451"/>
      <c r="S204" s="445">
        <f t="shared" si="43"/>
        <v>0</v>
      </c>
      <c r="T204" s="451"/>
      <c r="U204" s="451"/>
      <c r="V204" s="451"/>
    </row>
    <row r="205" spans="1:22" s="446" customFormat="1" ht="15.75">
      <c r="A205" s="570">
        <v>752</v>
      </c>
      <c r="B205" s="570"/>
      <c r="C205" s="587"/>
      <c r="D205" s="310" t="s">
        <v>453</v>
      </c>
      <c r="E205" s="502">
        <f aca="true" t="shared" si="44" ref="E205:E232">F205+S205</f>
        <v>3000</v>
      </c>
      <c r="F205" s="445">
        <f aca="true" t="shared" si="45" ref="F205:F233">G205+N205+O205+P205+Q205+R205</f>
        <v>3000</v>
      </c>
      <c r="G205" s="445">
        <f aca="true" t="shared" si="46" ref="G205:G233">H205+I205</f>
        <v>3000</v>
      </c>
      <c r="H205" s="445">
        <f aca="true" t="shared" si="47" ref="H205:V205">SUM(H206)</f>
        <v>1600</v>
      </c>
      <c r="I205" s="445">
        <f aca="true" t="shared" si="48" ref="I205:I233">SUM(J205:M205)</f>
        <v>1400</v>
      </c>
      <c r="J205" s="445">
        <f>SUM(J206)</f>
        <v>0</v>
      </c>
      <c r="K205" s="445">
        <f t="shared" si="47"/>
        <v>0</v>
      </c>
      <c r="L205" s="445">
        <f t="shared" si="47"/>
        <v>0</v>
      </c>
      <c r="M205" s="445">
        <f t="shared" si="47"/>
        <v>1400</v>
      </c>
      <c r="N205" s="445">
        <f t="shared" si="47"/>
        <v>0</v>
      </c>
      <c r="O205" s="445">
        <f t="shared" si="47"/>
        <v>0</v>
      </c>
      <c r="P205" s="445">
        <f t="shared" si="47"/>
        <v>0</v>
      </c>
      <c r="Q205" s="445">
        <f t="shared" si="47"/>
        <v>0</v>
      </c>
      <c r="R205" s="445">
        <f t="shared" si="47"/>
        <v>0</v>
      </c>
      <c r="S205" s="445">
        <f t="shared" si="34"/>
        <v>0</v>
      </c>
      <c r="T205" s="445">
        <f t="shared" si="47"/>
        <v>0</v>
      </c>
      <c r="U205" s="445">
        <f t="shared" si="47"/>
        <v>0</v>
      </c>
      <c r="V205" s="445">
        <f t="shared" si="47"/>
        <v>0</v>
      </c>
    </row>
    <row r="206" spans="1:22" s="449" customFormat="1" ht="31.5">
      <c r="A206" s="570"/>
      <c r="B206" s="571">
        <v>75212</v>
      </c>
      <c r="C206" s="588"/>
      <c r="D206" s="262" t="s">
        <v>449</v>
      </c>
      <c r="E206" s="502">
        <f t="shared" si="44"/>
        <v>3000</v>
      </c>
      <c r="F206" s="445">
        <f t="shared" si="45"/>
        <v>3000</v>
      </c>
      <c r="G206" s="445">
        <f t="shared" si="46"/>
        <v>3000</v>
      </c>
      <c r="H206" s="448">
        <f>SUM(H207:H210)</f>
        <v>1600</v>
      </c>
      <c r="I206" s="448">
        <f aca="true" t="shared" si="49" ref="I206:V206">SUM(I207:I210)</f>
        <v>1400</v>
      </c>
      <c r="J206" s="448">
        <f t="shared" si="49"/>
        <v>0</v>
      </c>
      <c r="K206" s="448">
        <f t="shared" si="49"/>
        <v>0</v>
      </c>
      <c r="L206" s="448">
        <f t="shared" si="49"/>
        <v>0</v>
      </c>
      <c r="M206" s="448">
        <f t="shared" si="49"/>
        <v>1400</v>
      </c>
      <c r="N206" s="448">
        <f t="shared" si="49"/>
        <v>0</v>
      </c>
      <c r="O206" s="448">
        <f t="shared" si="49"/>
        <v>0</v>
      </c>
      <c r="P206" s="448">
        <f t="shared" si="49"/>
        <v>0</v>
      </c>
      <c r="Q206" s="448">
        <f t="shared" si="49"/>
        <v>0</v>
      </c>
      <c r="R206" s="448">
        <f t="shared" si="49"/>
        <v>0</v>
      </c>
      <c r="S206" s="448">
        <f t="shared" si="49"/>
        <v>0</v>
      </c>
      <c r="T206" s="448">
        <f t="shared" si="49"/>
        <v>0</v>
      </c>
      <c r="U206" s="448">
        <f t="shared" si="49"/>
        <v>0</v>
      </c>
      <c r="V206" s="448">
        <f t="shared" si="49"/>
        <v>0</v>
      </c>
    </row>
    <row r="207" spans="1:22" s="441" customFormat="1" ht="49.5" customHeight="1">
      <c r="A207" s="570"/>
      <c r="B207" s="570"/>
      <c r="C207" s="589">
        <v>4700</v>
      </c>
      <c r="D207" s="450" t="s">
        <v>385</v>
      </c>
      <c r="E207" s="502">
        <f t="shared" si="44"/>
        <v>0</v>
      </c>
      <c r="F207" s="445">
        <f t="shared" si="45"/>
        <v>0</v>
      </c>
      <c r="G207" s="445">
        <f t="shared" si="46"/>
        <v>0</v>
      </c>
      <c r="H207" s="451"/>
      <c r="I207" s="445">
        <f t="shared" si="48"/>
        <v>0</v>
      </c>
      <c r="J207" s="451"/>
      <c r="K207" s="451"/>
      <c r="L207" s="451"/>
      <c r="M207" s="451"/>
      <c r="N207" s="451"/>
      <c r="O207" s="451"/>
      <c r="P207" s="451"/>
      <c r="Q207" s="451"/>
      <c r="R207" s="451"/>
      <c r="S207" s="445">
        <f t="shared" si="34"/>
        <v>0</v>
      </c>
      <c r="T207" s="451"/>
      <c r="U207" s="451"/>
      <c r="V207" s="451"/>
    </row>
    <row r="208" spans="1:22" s="441" customFormat="1" ht="49.5" customHeight="1">
      <c r="A208" s="570"/>
      <c r="B208" s="570"/>
      <c r="C208" s="589">
        <v>4170</v>
      </c>
      <c r="D208" s="450" t="s">
        <v>659</v>
      </c>
      <c r="E208" s="502">
        <f t="shared" si="44"/>
        <v>1400</v>
      </c>
      <c r="F208" s="445">
        <f t="shared" si="45"/>
        <v>1400</v>
      </c>
      <c r="G208" s="445">
        <f t="shared" si="46"/>
        <v>1400</v>
      </c>
      <c r="H208" s="451"/>
      <c r="I208" s="445">
        <f t="shared" si="48"/>
        <v>1400</v>
      </c>
      <c r="J208" s="451"/>
      <c r="K208" s="451"/>
      <c r="L208" s="451"/>
      <c r="M208" s="451">
        <v>1400</v>
      </c>
      <c r="N208" s="451"/>
      <c r="O208" s="451"/>
      <c r="P208" s="451"/>
      <c r="Q208" s="451"/>
      <c r="R208" s="451"/>
      <c r="S208" s="445">
        <f t="shared" si="34"/>
        <v>0</v>
      </c>
      <c r="T208" s="451"/>
      <c r="U208" s="451"/>
      <c r="V208" s="451"/>
    </row>
    <row r="209" spans="1:22" s="441" customFormat="1" ht="75">
      <c r="A209" s="570"/>
      <c r="B209" s="570"/>
      <c r="C209" s="589">
        <v>4400</v>
      </c>
      <c r="D209" s="450" t="s">
        <v>592</v>
      </c>
      <c r="E209" s="502">
        <f t="shared" si="44"/>
        <v>1200</v>
      </c>
      <c r="F209" s="445">
        <f t="shared" si="45"/>
        <v>1200</v>
      </c>
      <c r="G209" s="445">
        <f t="shared" si="46"/>
        <v>1200</v>
      </c>
      <c r="H209" s="451">
        <v>1200</v>
      </c>
      <c r="I209" s="445">
        <f t="shared" si="48"/>
        <v>0</v>
      </c>
      <c r="J209" s="451"/>
      <c r="K209" s="451"/>
      <c r="L209" s="451"/>
      <c r="M209" s="451"/>
      <c r="N209" s="451"/>
      <c r="O209" s="451"/>
      <c r="P209" s="451"/>
      <c r="Q209" s="451"/>
      <c r="R209" s="451"/>
      <c r="S209" s="445">
        <f t="shared" si="34"/>
        <v>0</v>
      </c>
      <c r="T209" s="451"/>
      <c r="U209" s="451"/>
      <c r="V209" s="451"/>
    </row>
    <row r="210" spans="1:22" s="441" customFormat="1" ht="49.5" customHeight="1">
      <c r="A210" s="570"/>
      <c r="B210" s="570"/>
      <c r="C210" s="589">
        <v>4300</v>
      </c>
      <c r="D210" s="450" t="s">
        <v>90</v>
      </c>
      <c r="E210" s="502">
        <f t="shared" si="44"/>
        <v>400</v>
      </c>
      <c r="F210" s="445">
        <f t="shared" si="45"/>
        <v>400</v>
      </c>
      <c r="G210" s="445">
        <f t="shared" si="46"/>
        <v>400</v>
      </c>
      <c r="H210" s="451">
        <v>400</v>
      </c>
      <c r="I210" s="445">
        <f t="shared" si="48"/>
        <v>0</v>
      </c>
      <c r="J210" s="451"/>
      <c r="K210" s="451"/>
      <c r="L210" s="451"/>
      <c r="M210" s="451"/>
      <c r="N210" s="451"/>
      <c r="O210" s="451"/>
      <c r="P210" s="451"/>
      <c r="Q210" s="451"/>
      <c r="R210" s="451"/>
      <c r="S210" s="445">
        <f t="shared" si="34"/>
        <v>0</v>
      </c>
      <c r="T210" s="451"/>
      <c r="U210" s="451"/>
      <c r="V210" s="451"/>
    </row>
    <row r="211" spans="1:22" s="446" customFormat="1" ht="63">
      <c r="A211" s="570">
        <v>754</v>
      </c>
      <c r="B211" s="570"/>
      <c r="C211" s="587"/>
      <c r="D211" s="311" t="s">
        <v>222</v>
      </c>
      <c r="E211" s="502">
        <f t="shared" si="44"/>
        <v>134600</v>
      </c>
      <c r="F211" s="445">
        <f t="shared" si="45"/>
        <v>126292</v>
      </c>
      <c r="G211" s="445">
        <f t="shared" si="46"/>
        <v>60692</v>
      </c>
      <c r="H211" s="445">
        <f>SUM(H212+H221+H216+H214+H218)</f>
        <v>60692</v>
      </c>
      <c r="I211" s="445">
        <f t="shared" si="48"/>
        <v>0</v>
      </c>
      <c r="J211" s="445">
        <f aca="true" t="shared" si="50" ref="J211:R211">SUM(J212+J221+J216+J214+J218)</f>
        <v>0</v>
      </c>
      <c r="K211" s="445">
        <f t="shared" si="50"/>
        <v>0</v>
      </c>
      <c r="L211" s="445">
        <f t="shared" si="50"/>
        <v>0</v>
      </c>
      <c r="M211" s="445">
        <f t="shared" si="50"/>
        <v>0</v>
      </c>
      <c r="N211" s="445">
        <f t="shared" si="50"/>
        <v>0</v>
      </c>
      <c r="O211" s="445">
        <f t="shared" si="50"/>
        <v>65600</v>
      </c>
      <c r="P211" s="445">
        <f t="shared" si="50"/>
        <v>0</v>
      </c>
      <c r="Q211" s="445">
        <f t="shared" si="50"/>
        <v>0</v>
      </c>
      <c r="R211" s="445">
        <f t="shared" si="50"/>
        <v>0</v>
      </c>
      <c r="S211" s="445">
        <f t="shared" si="34"/>
        <v>8308</v>
      </c>
      <c r="T211" s="445">
        <f>SUM(T212+T221+T216+T214+T218)</f>
        <v>8308</v>
      </c>
      <c r="U211" s="445">
        <f>SUM(U212+U221+U216+U214+U218)</f>
        <v>0</v>
      </c>
      <c r="V211" s="445">
        <f>SUM(V212+V221+V216+V214+V218)</f>
        <v>0</v>
      </c>
    </row>
    <row r="212" spans="1:22" s="449" customFormat="1" ht="31.5">
      <c r="A212" s="570"/>
      <c r="B212" s="571">
        <v>75404</v>
      </c>
      <c r="C212" s="588"/>
      <c r="D212" s="262" t="s">
        <v>223</v>
      </c>
      <c r="E212" s="502">
        <f t="shared" si="44"/>
        <v>12000</v>
      </c>
      <c r="F212" s="445">
        <f t="shared" si="45"/>
        <v>12000</v>
      </c>
      <c r="G212" s="445">
        <f t="shared" si="46"/>
        <v>12000</v>
      </c>
      <c r="H212" s="448">
        <f aca="true" t="shared" si="51" ref="H212:V214">SUM(H213:H213)</f>
        <v>12000</v>
      </c>
      <c r="I212" s="445">
        <f t="shared" si="48"/>
        <v>0</v>
      </c>
      <c r="J212" s="448">
        <f t="shared" si="51"/>
        <v>0</v>
      </c>
      <c r="K212" s="448">
        <f t="shared" si="51"/>
        <v>0</v>
      </c>
      <c r="L212" s="448">
        <f t="shared" si="51"/>
        <v>0</v>
      </c>
      <c r="M212" s="448">
        <f t="shared" si="51"/>
        <v>0</v>
      </c>
      <c r="N212" s="448">
        <f t="shared" si="51"/>
        <v>0</v>
      </c>
      <c r="O212" s="448">
        <f t="shared" si="51"/>
        <v>0</v>
      </c>
      <c r="P212" s="448">
        <f t="shared" si="51"/>
        <v>0</v>
      </c>
      <c r="Q212" s="448">
        <f t="shared" si="51"/>
        <v>0</v>
      </c>
      <c r="R212" s="448">
        <f t="shared" si="51"/>
        <v>0</v>
      </c>
      <c r="S212" s="445">
        <f t="shared" si="34"/>
        <v>0</v>
      </c>
      <c r="T212" s="448">
        <f t="shared" si="51"/>
        <v>0</v>
      </c>
      <c r="U212" s="448">
        <f t="shared" si="51"/>
        <v>0</v>
      </c>
      <c r="V212" s="448">
        <f t="shared" si="51"/>
        <v>0</v>
      </c>
    </row>
    <row r="213" spans="1:22" s="441" customFormat="1" ht="30">
      <c r="A213" s="570"/>
      <c r="B213" s="570"/>
      <c r="C213" s="589">
        <v>4210</v>
      </c>
      <c r="D213" s="450" t="s">
        <v>107</v>
      </c>
      <c r="E213" s="502">
        <f t="shared" si="44"/>
        <v>12000</v>
      </c>
      <c r="F213" s="445">
        <f t="shared" si="45"/>
        <v>12000</v>
      </c>
      <c r="G213" s="445">
        <f t="shared" si="46"/>
        <v>12000</v>
      </c>
      <c r="H213" s="451">
        <v>12000</v>
      </c>
      <c r="I213" s="445">
        <f t="shared" si="48"/>
        <v>0</v>
      </c>
      <c r="J213" s="451"/>
      <c r="K213" s="451"/>
      <c r="L213" s="451"/>
      <c r="M213" s="451"/>
      <c r="N213" s="451"/>
      <c r="O213" s="451"/>
      <c r="P213" s="451"/>
      <c r="Q213" s="451"/>
      <c r="R213" s="451"/>
      <c r="S213" s="445">
        <f t="shared" si="34"/>
        <v>0</v>
      </c>
      <c r="T213" s="451"/>
      <c r="U213" s="451"/>
      <c r="V213" s="451"/>
    </row>
    <row r="214" spans="1:22" s="449" customFormat="1" ht="31.5">
      <c r="A214" s="570"/>
      <c r="B214" s="571">
        <v>75405</v>
      </c>
      <c r="C214" s="588"/>
      <c r="D214" s="262" t="s">
        <v>491</v>
      </c>
      <c r="E214" s="502">
        <f t="shared" si="44"/>
        <v>2000</v>
      </c>
      <c r="F214" s="445">
        <f t="shared" si="45"/>
        <v>2000</v>
      </c>
      <c r="G214" s="445">
        <f t="shared" si="46"/>
        <v>2000</v>
      </c>
      <c r="H214" s="448">
        <f t="shared" si="51"/>
        <v>2000</v>
      </c>
      <c r="I214" s="445">
        <f t="shared" si="48"/>
        <v>0</v>
      </c>
      <c r="J214" s="448">
        <f t="shared" si="51"/>
        <v>0</v>
      </c>
      <c r="K214" s="448">
        <f t="shared" si="51"/>
        <v>0</v>
      </c>
      <c r="L214" s="448">
        <f t="shared" si="51"/>
        <v>0</v>
      </c>
      <c r="M214" s="448">
        <f t="shared" si="51"/>
        <v>0</v>
      </c>
      <c r="N214" s="448">
        <f t="shared" si="51"/>
        <v>0</v>
      </c>
      <c r="O214" s="448">
        <f t="shared" si="51"/>
        <v>0</v>
      </c>
      <c r="P214" s="448">
        <f t="shared" si="51"/>
        <v>0</v>
      </c>
      <c r="Q214" s="448">
        <f t="shared" si="51"/>
        <v>0</v>
      </c>
      <c r="R214" s="448">
        <f t="shared" si="51"/>
        <v>0</v>
      </c>
      <c r="S214" s="445">
        <f t="shared" si="34"/>
        <v>0</v>
      </c>
      <c r="T214" s="448">
        <f t="shared" si="51"/>
        <v>0</v>
      </c>
      <c r="U214" s="448">
        <f t="shared" si="51"/>
        <v>0</v>
      </c>
      <c r="V214" s="448">
        <f t="shared" si="51"/>
        <v>0</v>
      </c>
    </row>
    <row r="215" spans="1:22" s="441" customFormat="1" ht="30">
      <c r="A215" s="570"/>
      <c r="B215" s="570"/>
      <c r="C215" s="589">
        <v>4300</v>
      </c>
      <c r="D215" s="450" t="s">
        <v>492</v>
      </c>
      <c r="E215" s="502">
        <f t="shared" si="44"/>
        <v>2000</v>
      </c>
      <c r="F215" s="445">
        <f t="shared" si="45"/>
        <v>2000</v>
      </c>
      <c r="G215" s="445">
        <f t="shared" si="46"/>
        <v>2000</v>
      </c>
      <c r="H215" s="451">
        <v>2000</v>
      </c>
      <c r="I215" s="445">
        <f t="shared" si="48"/>
        <v>0</v>
      </c>
      <c r="J215" s="451"/>
      <c r="K215" s="451"/>
      <c r="L215" s="451"/>
      <c r="M215" s="451"/>
      <c r="N215" s="451"/>
      <c r="O215" s="451"/>
      <c r="P215" s="451"/>
      <c r="Q215" s="451"/>
      <c r="R215" s="451"/>
      <c r="S215" s="445">
        <f t="shared" si="34"/>
        <v>0</v>
      </c>
      <c r="T215" s="451"/>
      <c r="U215" s="451"/>
      <c r="V215" s="451"/>
    </row>
    <row r="216" spans="1:22" s="441" customFormat="1" ht="31.5">
      <c r="A216" s="570"/>
      <c r="B216" s="571">
        <v>75411</v>
      </c>
      <c r="C216" s="589"/>
      <c r="D216" s="262" t="s">
        <v>251</v>
      </c>
      <c r="E216" s="502">
        <f t="shared" si="44"/>
        <v>3000</v>
      </c>
      <c r="F216" s="445">
        <f t="shared" si="45"/>
        <v>3000</v>
      </c>
      <c r="G216" s="445">
        <f t="shared" si="46"/>
        <v>3000</v>
      </c>
      <c r="H216" s="448">
        <f aca="true" t="shared" si="52" ref="H216:V216">H217</f>
        <v>3000</v>
      </c>
      <c r="I216" s="445">
        <f t="shared" si="48"/>
        <v>0</v>
      </c>
      <c r="J216" s="448">
        <f t="shared" si="52"/>
        <v>0</v>
      </c>
      <c r="K216" s="448">
        <f t="shared" si="52"/>
        <v>0</v>
      </c>
      <c r="L216" s="448">
        <f t="shared" si="52"/>
        <v>0</v>
      </c>
      <c r="M216" s="448">
        <f t="shared" si="52"/>
        <v>0</v>
      </c>
      <c r="N216" s="448">
        <f t="shared" si="52"/>
        <v>0</v>
      </c>
      <c r="O216" s="448">
        <f t="shared" si="52"/>
        <v>0</v>
      </c>
      <c r="P216" s="448">
        <f t="shared" si="52"/>
        <v>0</v>
      </c>
      <c r="Q216" s="448">
        <f t="shared" si="52"/>
        <v>0</v>
      </c>
      <c r="R216" s="448">
        <f t="shared" si="52"/>
        <v>0</v>
      </c>
      <c r="S216" s="445">
        <f t="shared" si="34"/>
        <v>0</v>
      </c>
      <c r="T216" s="448">
        <f t="shared" si="52"/>
        <v>0</v>
      </c>
      <c r="U216" s="448">
        <f t="shared" si="52"/>
        <v>0</v>
      </c>
      <c r="V216" s="448">
        <f t="shared" si="52"/>
        <v>0</v>
      </c>
    </row>
    <row r="217" spans="1:22" s="441" customFormat="1" ht="30">
      <c r="A217" s="570"/>
      <c r="B217" s="570"/>
      <c r="C217" s="589">
        <v>4210</v>
      </c>
      <c r="D217" s="450" t="s">
        <v>107</v>
      </c>
      <c r="E217" s="502">
        <f t="shared" si="44"/>
        <v>3000</v>
      </c>
      <c r="F217" s="445">
        <f t="shared" si="45"/>
        <v>3000</v>
      </c>
      <c r="G217" s="445">
        <f t="shared" si="46"/>
        <v>3000</v>
      </c>
      <c r="H217" s="451">
        <v>3000</v>
      </c>
      <c r="I217" s="445">
        <f t="shared" si="48"/>
        <v>0</v>
      </c>
      <c r="J217" s="451"/>
      <c r="K217" s="451"/>
      <c r="L217" s="451"/>
      <c r="M217" s="451"/>
      <c r="N217" s="451"/>
      <c r="O217" s="451"/>
      <c r="P217" s="451"/>
      <c r="Q217" s="451"/>
      <c r="R217" s="451"/>
      <c r="S217" s="445">
        <f t="shared" si="34"/>
        <v>0</v>
      </c>
      <c r="T217" s="451"/>
      <c r="U217" s="451"/>
      <c r="V217" s="451"/>
    </row>
    <row r="218" spans="1:22" s="441" customFormat="1" ht="31.5">
      <c r="A218" s="570"/>
      <c r="B218" s="571">
        <v>75478</v>
      </c>
      <c r="C218" s="588"/>
      <c r="D218" s="262" t="s">
        <v>543</v>
      </c>
      <c r="E218" s="502">
        <f>F218+S218</f>
        <v>50000</v>
      </c>
      <c r="F218" s="445">
        <f>G218+N218+O218+P218+Q218+R218</f>
        <v>41692</v>
      </c>
      <c r="G218" s="445">
        <f>H218+I218</f>
        <v>41692</v>
      </c>
      <c r="H218" s="448">
        <f>SUM(H219:H220)</f>
        <v>41692</v>
      </c>
      <c r="I218" s="445">
        <f>SUM(J218:M218)</f>
        <v>0</v>
      </c>
      <c r="J218" s="448">
        <f aca="true" t="shared" si="53" ref="J218:R218">SUM(J219:J220)</f>
        <v>0</v>
      </c>
      <c r="K218" s="448">
        <f t="shared" si="53"/>
        <v>0</v>
      </c>
      <c r="L218" s="448">
        <f t="shared" si="53"/>
        <v>0</v>
      </c>
      <c r="M218" s="448">
        <f t="shared" si="53"/>
        <v>0</v>
      </c>
      <c r="N218" s="448">
        <f t="shared" si="53"/>
        <v>0</v>
      </c>
      <c r="O218" s="448">
        <f t="shared" si="53"/>
        <v>0</v>
      </c>
      <c r="P218" s="448">
        <f t="shared" si="53"/>
        <v>0</v>
      </c>
      <c r="Q218" s="448">
        <f t="shared" si="53"/>
        <v>0</v>
      </c>
      <c r="R218" s="448">
        <f t="shared" si="53"/>
        <v>0</v>
      </c>
      <c r="S218" s="445">
        <f>T218+V218</f>
        <v>8308</v>
      </c>
      <c r="T218" s="448">
        <f>SUM(T219:T220)</f>
        <v>8308</v>
      </c>
      <c r="U218" s="448">
        <f>SUM(U219:U220)</f>
        <v>0</v>
      </c>
      <c r="V218" s="448">
        <f>SUM(V219:V220)</f>
        <v>0</v>
      </c>
    </row>
    <row r="219" spans="1:22" s="441" customFormat="1" ht="30">
      <c r="A219" s="570"/>
      <c r="B219" s="570"/>
      <c r="C219" s="589">
        <v>4210</v>
      </c>
      <c r="D219" s="450" t="s">
        <v>107</v>
      </c>
      <c r="E219" s="502">
        <f>F219+S219</f>
        <v>41692</v>
      </c>
      <c r="F219" s="445">
        <f>G219+N219+O219+P219+Q219+R219</f>
        <v>41692</v>
      </c>
      <c r="G219" s="445">
        <f>H219+I219</f>
        <v>41692</v>
      </c>
      <c r="H219" s="451">
        <v>41692</v>
      </c>
      <c r="I219" s="445">
        <f>SUM(J219:M219)</f>
        <v>0</v>
      </c>
      <c r="J219" s="451"/>
      <c r="K219" s="451"/>
      <c r="L219" s="451"/>
      <c r="M219" s="451"/>
      <c r="N219" s="451"/>
      <c r="O219" s="451"/>
      <c r="P219" s="451"/>
      <c r="Q219" s="451"/>
      <c r="R219" s="451"/>
      <c r="S219" s="445">
        <f>T219+V219</f>
        <v>0</v>
      </c>
      <c r="T219" s="451"/>
      <c r="U219" s="451"/>
      <c r="V219" s="451"/>
    </row>
    <row r="220" spans="1:22" s="441" customFormat="1" ht="45">
      <c r="A220" s="570"/>
      <c r="B220" s="570"/>
      <c r="C220" s="589">
        <v>6060</v>
      </c>
      <c r="D220" s="453" t="s">
        <v>387</v>
      </c>
      <c r="E220" s="502">
        <f>F220+S220</f>
        <v>8308</v>
      </c>
      <c r="F220" s="445">
        <f>G220+N220+O220+P220+Q220+R220</f>
        <v>0</v>
      </c>
      <c r="G220" s="445">
        <f>H220+I220</f>
        <v>0</v>
      </c>
      <c r="H220" s="451"/>
      <c r="I220" s="445">
        <f>SUM(J220:M220)</f>
        <v>0</v>
      </c>
      <c r="J220" s="451"/>
      <c r="K220" s="451"/>
      <c r="L220" s="451"/>
      <c r="M220" s="451"/>
      <c r="N220" s="451"/>
      <c r="O220" s="451"/>
      <c r="P220" s="451"/>
      <c r="Q220" s="451"/>
      <c r="R220" s="451"/>
      <c r="S220" s="445">
        <f>T220+V220</f>
        <v>8308</v>
      </c>
      <c r="T220" s="451">
        <v>8308</v>
      </c>
      <c r="U220" s="451"/>
      <c r="V220" s="451"/>
    </row>
    <row r="221" spans="1:22" s="449" customFormat="1" ht="15.75">
      <c r="A221" s="570"/>
      <c r="B221" s="571">
        <v>75495</v>
      </c>
      <c r="C221" s="588"/>
      <c r="D221" s="262" t="s">
        <v>224</v>
      </c>
      <c r="E221" s="502">
        <f t="shared" si="44"/>
        <v>67600</v>
      </c>
      <c r="F221" s="445">
        <f t="shared" si="45"/>
        <v>67600</v>
      </c>
      <c r="G221" s="445">
        <f t="shared" si="46"/>
        <v>2000</v>
      </c>
      <c r="H221" s="448">
        <f>SUM(H222:H223)</f>
        <v>2000</v>
      </c>
      <c r="I221" s="445">
        <f t="shared" si="48"/>
        <v>0</v>
      </c>
      <c r="J221" s="448">
        <f>SUM(J222:J223)</f>
        <v>0</v>
      </c>
      <c r="K221" s="448">
        <f aca="true" t="shared" si="54" ref="K221:R221">SUM(K222:K223)</f>
        <v>0</v>
      </c>
      <c r="L221" s="448">
        <f t="shared" si="54"/>
        <v>0</v>
      </c>
      <c r="M221" s="448">
        <f t="shared" si="54"/>
        <v>0</v>
      </c>
      <c r="N221" s="448">
        <f t="shared" si="54"/>
        <v>0</v>
      </c>
      <c r="O221" s="448">
        <f t="shared" si="54"/>
        <v>65600</v>
      </c>
      <c r="P221" s="448">
        <f>SUM(P222:P223)</f>
        <v>0</v>
      </c>
      <c r="Q221" s="448">
        <f t="shared" si="54"/>
        <v>0</v>
      </c>
      <c r="R221" s="448">
        <f t="shared" si="54"/>
        <v>0</v>
      </c>
      <c r="S221" s="445">
        <f t="shared" si="34"/>
        <v>0</v>
      </c>
      <c r="T221" s="448">
        <f>SUM(T222:T223)</f>
        <v>0</v>
      </c>
      <c r="U221" s="448">
        <f>SUM(U222:U223)</f>
        <v>0</v>
      </c>
      <c r="V221" s="448">
        <f>SUM(V222:V223)</f>
        <v>0</v>
      </c>
    </row>
    <row r="222" spans="1:22" s="441" customFormat="1" ht="30">
      <c r="A222" s="570"/>
      <c r="B222" s="570"/>
      <c r="C222" s="589">
        <v>4210</v>
      </c>
      <c r="D222" s="450" t="s">
        <v>225</v>
      </c>
      <c r="E222" s="502">
        <f t="shared" si="44"/>
        <v>2000</v>
      </c>
      <c r="F222" s="445">
        <f t="shared" si="45"/>
        <v>2000</v>
      </c>
      <c r="G222" s="445">
        <f t="shared" si="46"/>
        <v>2000</v>
      </c>
      <c r="H222" s="451">
        <v>2000</v>
      </c>
      <c r="I222" s="445">
        <f t="shared" si="48"/>
        <v>0</v>
      </c>
      <c r="J222" s="451"/>
      <c r="K222" s="451"/>
      <c r="L222" s="451"/>
      <c r="M222" s="451"/>
      <c r="N222" s="451"/>
      <c r="O222" s="451"/>
      <c r="P222" s="451"/>
      <c r="Q222" s="451"/>
      <c r="R222" s="451"/>
      <c r="S222" s="445">
        <f t="shared" si="34"/>
        <v>0</v>
      </c>
      <c r="T222" s="451"/>
      <c r="U222" s="451"/>
      <c r="V222" s="451"/>
    </row>
    <row r="223" spans="1:22" s="441" customFormat="1" ht="120">
      <c r="A223" s="570"/>
      <c r="B223" s="570"/>
      <c r="C223" s="589">
        <v>2320</v>
      </c>
      <c r="D223" s="450" t="s">
        <v>264</v>
      </c>
      <c r="E223" s="502">
        <f t="shared" si="44"/>
        <v>65600</v>
      </c>
      <c r="F223" s="445">
        <f t="shared" si="45"/>
        <v>65600</v>
      </c>
      <c r="G223" s="445">
        <f t="shared" si="46"/>
        <v>0</v>
      </c>
      <c r="H223" s="451"/>
      <c r="I223" s="445">
        <f t="shared" si="48"/>
        <v>0</v>
      </c>
      <c r="J223" s="451"/>
      <c r="K223" s="451"/>
      <c r="L223" s="451"/>
      <c r="M223" s="451"/>
      <c r="N223" s="451"/>
      <c r="O223" s="451">
        <v>65600</v>
      </c>
      <c r="P223" s="451"/>
      <c r="Q223" s="451"/>
      <c r="R223" s="451"/>
      <c r="S223" s="445">
        <f t="shared" si="34"/>
        <v>0</v>
      </c>
      <c r="T223" s="451"/>
      <c r="U223" s="451"/>
      <c r="V223" s="451"/>
    </row>
    <row r="224" spans="1:22" s="446" customFormat="1" ht="31.5">
      <c r="A224" s="570">
        <v>757</v>
      </c>
      <c r="B224" s="570"/>
      <c r="C224" s="587"/>
      <c r="D224" s="311" t="s">
        <v>226</v>
      </c>
      <c r="E224" s="502">
        <f t="shared" si="44"/>
        <v>988365</v>
      </c>
      <c r="F224" s="445">
        <f t="shared" si="45"/>
        <v>988365</v>
      </c>
      <c r="G224" s="445">
        <f t="shared" si="46"/>
        <v>0</v>
      </c>
      <c r="H224" s="445">
        <f>SUM(H225+H228)</f>
        <v>0</v>
      </c>
      <c r="I224" s="445">
        <f t="shared" si="48"/>
        <v>0</v>
      </c>
      <c r="J224" s="445">
        <f>SUM(J225+J228)</f>
        <v>0</v>
      </c>
      <c r="K224" s="445">
        <f aca="true" t="shared" si="55" ref="K224:R224">SUM(K225+K228)</f>
        <v>0</v>
      </c>
      <c r="L224" s="445">
        <f t="shared" si="55"/>
        <v>0</v>
      </c>
      <c r="M224" s="445">
        <f t="shared" si="55"/>
        <v>0</v>
      </c>
      <c r="N224" s="445">
        <f t="shared" si="55"/>
        <v>0</v>
      </c>
      <c r="O224" s="445">
        <f t="shared" si="55"/>
        <v>0</v>
      </c>
      <c r="P224" s="445">
        <f>SUM(P225+P228)</f>
        <v>566300</v>
      </c>
      <c r="Q224" s="445">
        <f t="shared" si="55"/>
        <v>422065</v>
      </c>
      <c r="R224" s="445">
        <f t="shared" si="55"/>
        <v>0</v>
      </c>
      <c r="S224" s="445">
        <f t="shared" si="34"/>
        <v>0</v>
      </c>
      <c r="T224" s="445">
        <f>SUM(T225+T228)</f>
        <v>0</v>
      </c>
      <c r="U224" s="445">
        <f>SUM(U225+U228)</f>
        <v>0</v>
      </c>
      <c r="V224" s="445">
        <f>SUM(V225+V228)</f>
        <v>0</v>
      </c>
    </row>
    <row r="225" spans="1:22" s="449" customFormat="1" ht="78.75">
      <c r="A225" s="571"/>
      <c r="B225" s="571">
        <v>75702</v>
      </c>
      <c r="C225" s="588"/>
      <c r="D225" s="262" t="s">
        <v>227</v>
      </c>
      <c r="E225" s="502">
        <f t="shared" si="44"/>
        <v>422065</v>
      </c>
      <c r="F225" s="445">
        <f t="shared" si="45"/>
        <v>422065</v>
      </c>
      <c r="G225" s="445">
        <f t="shared" si="46"/>
        <v>0</v>
      </c>
      <c r="H225" s="448">
        <f>SUM(H226:H227)</f>
        <v>0</v>
      </c>
      <c r="I225" s="445">
        <f t="shared" si="48"/>
        <v>0</v>
      </c>
      <c r="J225" s="448">
        <f>SUM(J226:J227)</f>
        <v>0</v>
      </c>
      <c r="K225" s="448">
        <f aca="true" t="shared" si="56" ref="K225:R225">SUM(K226:K227)</f>
        <v>0</v>
      </c>
      <c r="L225" s="448">
        <f t="shared" si="56"/>
        <v>0</v>
      </c>
      <c r="M225" s="448">
        <f t="shared" si="56"/>
        <v>0</v>
      </c>
      <c r="N225" s="448">
        <f t="shared" si="56"/>
        <v>0</v>
      </c>
      <c r="O225" s="448">
        <f t="shared" si="56"/>
        <v>0</v>
      </c>
      <c r="P225" s="448">
        <f>SUM(P226:P227)</f>
        <v>0</v>
      </c>
      <c r="Q225" s="448">
        <f t="shared" si="56"/>
        <v>422065</v>
      </c>
      <c r="R225" s="448">
        <f t="shared" si="56"/>
        <v>0</v>
      </c>
      <c r="S225" s="445">
        <f t="shared" si="34"/>
        <v>0</v>
      </c>
      <c r="T225" s="448">
        <f>SUM(T226:T227)</f>
        <v>0</v>
      </c>
      <c r="U225" s="448">
        <f>SUM(U226:U227)</f>
        <v>0</v>
      </c>
      <c r="V225" s="448">
        <f>SUM(V226:V227)</f>
        <v>0</v>
      </c>
    </row>
    <row r="226" spans="1:22" s="441" customFormat="1" ht="45" customHeight="1">
      <c r="A226" s="570"/>
      <c r="B226" s="570"/>
      <c r="C226" s="594">
        <v>8010</v>
      </c>
      <c r="D226" s="458" t="s">
        <v>485</v>
      </c>
      <c r="E226" s="502">
        <f t="shared" si="44"/>
        <v>15000</v>
      </c>
      <c r="F226" s="445">
        <f t="shared" si="45"/>
        <v>15000</v>
      </c>
      <c r="G226" s="445">
        <f t="shared" si="46"/>
        <v>0</v>
      </c>
      <c r="H226" s="451"/>
      <c r="I226" s="445">
        <f t="shared" si="48"/>
        <v>0</v>
      </c>
      <c r="J226" s="451"/>
      <c r="K226" s="451"/>
      <c r="L226" s="451"/>
      <c r="M226" s="451"/>
      <c r="N226" s="451"/>
      <c r="O226" s="451"/>
      <c r="P226" s="451"/>
      <c r="Q226" s="451">
        <v>15000</v>
      </c>
      <c r="R226" s="451"/>
      <c r="S226" s="445">
        <f t="shared" si="34"/>
        <v>0</v>
      </c>
      <c r="T226" s="451"/>
      <c r="U226" s="451"/>
      <c r="V226" s="451"/>
    </row>
    <row r="227" spans="1:22" s="441" customFormat="1" ht="60">
      <c r="A227" s="570"/>
      <c r="B227" s="570"/>
      <c r="C227" s="589">
        <v>8070</v>
      </c>
      <c r="D227" s="450" t="s">
        <v>228</v>
      </c>
      <c r="E227" s="502">
        <f t="shared" si="44"/>
        <v>407065</v>
      </c>
      <c r="F227" s="445">
        <f t="shared" si="45"/>
        <v>407065</v>
      </c>
      <c r="G227" s="445">
        <f t="shared" si="46"/>
        <v>0</v>
      </c>
      <c r="H227" s="451"/>
      <c r="I227" s="445">
        <f t="shared" si="48"/>
        <v>0</v>
      </c>
      <c r="J227" s="451"/>
      <c r="K227" s="451"/>
      <c r="L227" s="451"/>
      <c r="M227" s="451"/>
      <c r="N227" s="451"/>
      <c r="O227" s="451"/>
      <c r="P227" s="451"/>
      <c r="Q227" s="451">
        <v>407065</v>
      </c>
      <c r="R227" s="451"/>
      <c r="S227" s="445">
        <f t="shared" si="34"/>
        <v>0</v>
      </c>
      <c r="T227" s="451"/>
      <c r="U227" s="451"/>
      <c r="V227" s="451"/>
    </row>
    <row r="228" spans="1:22" s="441" customFormat="1" ht="60.75" customHeight="1">
      <c r="A228" s="570"/>
      <c r="B228" s="578">
        <v>75704</v>
      </c>
      <c r="C228" s="595"/>
      <c r="D228" s="459" t="s">
        <v>471</v>
      </c>
      <c r="E228" s="502">
        <f t="shared" si="44"/>
        <v>566300</v>
      </c>
      <c r="F228" s="445">
        <f t="shared" si="45"/>
        <v>566300</v>
      </c>
      <c r="G228" s="445">
        <f t="shared" si="46"/>
        <v>0</v>
      </c>
      <c r="H228" s="451">
        <f>SUM(H229)</f>
        <v>0</v>
      </c>
      <c r="I228" s="445">
        <f t="shared" si="48"/>
        <v>0</v>
      </c>
      <c r="J228" s="451">
        <f>SUM(J229)</f>
        <v>0</v>
      </c>
      <c r="K228" s="451">
        <f>SUM(K229)</f>
        <v>0</v>
      </c>
      <c r="L228" s="451">
        <f aca="true" t="shared" si="57" ref="L228:V228">SUM(L229)</f>
        <v>0</v>
      </c>
      <c r="M228" s="451">
        <f t="shared" si="57"/>
        <v>0</v>
      </c>
      <c r="N228" s="451">
        <f t="shared" si="57"/>
        <v>0</v>
      </c>
      <c r="O228" s="451">
        <f t="shared" si="57"/>
        <v>0</v>
      </c>
      <c r="P228" s="451">
        <f>SUM(P229)</f>
        <v>566300</v>
      </c>
      <c r="Q228" s="451">
        <f>SUM(Q229)</f>
        <v>0</v>
      </c>
      <c r="R228" s="451">
        <f t="shared" si="57"/>
        <v>0</v>
      </c>
      <c r="S228" s="445">
        <f t="shared" si="34"/>
        <v>0</v>
      </c>
      <c r="T228" s="451">
        <f t="shared" si="57"/>
        <v>0</v>
      </c>
      <c r="U228" s="451">
        <f t="shared" si="57"/>
        <v>0</v>
      </c>
      <c r="V228" s="451">
        <f t="shared" si="57"/>
        <v>0</v>
      </c>
    </row>
    <row r="229" spans="1:22" s="441" customFormat="1" ht="31.5">
      <c r="A229" s="570"/>
      <c r="B229" s="578"/>
      <c r="C229" s="595">
        <v>8020</v>
      </c>
      <c r="D229" s="427" t="s">
        <v>470</v>
      </c>
      <c r="E229" s="502">
        <f t="shared" si="44"/>
        <v>566300</v>
      </c>
      <c r="F229" s="445">
        <f t="shared" si="45"/>
        <v>566300</v>
      </c>
      <c r="G229" s="445">
        <f t="shared" si="46"/>
        <v>0</v>
      </c>
      <c r="H229" s="451"/>
      <c r="I229" s="445">
        <f t="shared" si="48"/>
        <v>0</v>
      </c>
      <c r="J229" s="451"/>
      <c r="K229" s="451"/>
      <c r="L229" s="451"/>
      <c r="M229" s="451"/>
      <c r="N229" s="451"/>
      <c r="O229" s="451"/>
      <c r="P229" s="451">
        <f>386300+180000</f>
        <v>566300</v>
      </c>
      <c r="Q229" s="451"/>
      <c r="R229" s="451"/>
      <c r="S229" s="445">
        <f t="shared" si="34"/>
        <v>0</v>
      </c>
      <c r="T229" s="451"/>
      <c r="U229" s="451"/>
      <c r="V229" s="451"/>
    </row>
    <row r="230" spans="1:22" s="446" customFormat="1" ht="15.75">
      <c r="A230" s="570">
        <v>758</v>
      </c>
      <c r="B230" s="570"/>
      <c r="C230" s="587"/>
      <c r="D230" s="311" t="s">
        <v>229</v>
      </c>
      <c r="E230" s="502">
        <f t="shared" si="44"/>
        <v>92309</v>
      </c>
      <c r="F230" s="445">
        <f t="shared" si="45"/>
        <v>92309</v>
      </c>
      <c r="G230" s="445">
        <f t="shared" si="46"/>
        <v>92309</v>
      </c>
      <c r="H230" s="445">
        <f aca="true" t="shared" si="58" ref="H230:V230">H231</f>
        <v>92309</v>
      </c>
      <c r="I230" s="445">
        <f t="shared" si="48"/>
        <v>0</v>
      </c>
      <c r="J230" s="445">
        <f>J231</f>
        <v>0</v>
      </c>
      <c r="K230" s="445">
        <f t="shared" si="58"/>
        <v>0</v>
      </c>
      <c r="L230" s="445">
        <f t="shared" si="58"/>
        <v>0</v>
      </c>
      <c r="M230" s="445">
        <f t="shared" si="58"/>
        <v>0</v>
      </c>
      <c r="N230" s="445">
        <f t="shared" si="58"/>
        <v>0</v>
      </c>
      <c r="O230" s="445">
        <f t="shared" si="58"/>
        <v>0</v>
      </c>
      <c r="P230" s="445">
        <f t="shared" si="58"/>
        <v>0</v>
      </c>
      <c r="Q230" s="445">
        <f t="shared" si="58"/>
        <v>0</v>
      </c>
      <c r="R230" s="445">
        <f t="shared" si="58"/>
        <v>0</v>
      </c>
      <c r="S230" s="445">
        <f t="shared" si="34"/>
        <v>0</v>
      </c>
      <c r="T230" s="445">
        <f t="shared" si="58"/>
        <v>0</v>
      </c>
      <c r="U230" s="445">
        <f t="shared" si="58"/>
        <v>0</v>
      </c>
      <c r="V230" s="445">
        <f t="shared" si="58"/>
        <v>0</v>
      </c>
    </row>
    <row r="231" spans="1:22" s="449" customFormat="1" ht="31.5">
      <c r="A231" s="571"/>
      <c r="B231" s="571">
        <v>75818</v>
      </c>
      <c r="C231" s="588"/>
      <c r="D231" s="262" t="s">
        <v>230</v>
      </c>
      <c r="E231" s="502">
        <f t="shared" si="44"/>
        <v>92309</v>
      </c>
      <c r="F231" s="445">
        <f t="shared" si="45"/>
        <v>92309</v>
      </c>
      <c r="G231" s="445">
        <f t="shared" si="46"/>
        <v>92309</v>
      </c>
      <c r="H231" s="448">
        <f>SUM(H232:H233)</f>
        <v>92309</v>
      </c>
      <c r="I231" s="445">
        <f t="shared" si="48"/>
        <v>0</v>
      </c>
      <c r="J231" s="448">
        <f aca="true" t="shared" si="59" ref="J231:R231">SUM(J232:J233)</f>
        <v>0</v>
      </c>
      <c r="K231" s="448">
        <f t="shared" si="59"/>
        <v>0</v>
      </c>
      <c r="L231" s="448">
        <f t="shared" si="59"/>
        <v>0</v>
      </c>
      <c r="M231" s="448">
        <f t="shared" si="59"/>
        <v>0</v>
      </c>
      <c r="N231" s="448">
        <f t="shared" si="59"/>
        <v>0</v>
      </c>
      <c r="O231" s="448">
        <f t="shared" si="59"/>
        <v>0</v>
      </c>
      <c r="P231" s="448">
        <f>SUM(P232:P233)</f>
        <v>0</v>
      </c>
      <c r="Q231" s="448">
        <f t="shared" si="59"/>
        <v>0</v>
      </c>
      <c r="R231" s="448">
        <f t="shared" si="59"/>
        <v>0</v>
      </c>
      <c r="S231" s="445">
        <f t="shared" si="34"/>
        <v>0</v>
      </c>
      <c r="T231" s="448">
        <f>SUM(T232:T233)</f>
        <v>0</v>
      </c>
      <c r="U231" s="448">
        <f>SUM(U232:U233)</f>
        <v>0</v>
      </c>
      <c r="V231" s="448">
        <f>SUM(V232:V233)</f>
        <v>0</v>
      </c>
    </row>
    <row r="232" spans="1:22" s="441" customFormat="1" ht="15.75">
      <c r="A232" s="570"/>
      <c r="B232" s="570"/>
      <c r="C232" s="589">
        <v>4810</v>
      </c>
      <c r="D232" s="450" t="s">
        <v>231</v>
      </c>
      <c r="E232" s="502">
        <f t="shared" si="44"/>
        <v>92309</v>
      </c>
      <c r="F232" s="445">
        <f t="shared" si="45"/>
        <v>92309</v>
      </c>
      <c r="G232" s="445">
        <f t="shared" si="46"/>
        <v>92309</v>
      </c>
      <c r="H232" s="451">
        <v>92309</v>
      </c>
      <c r="I232" s="445">
        <f t="shared" si="48"/>
        <v>0</v>
      </c>
      <c r="J232" s="451"/>
      <c r="K232" s="451"/>
      <c r="L232" s="451"/>
      <c r="M232" s="451"/>
      <c r="N232" s="451"/>
      <c r="O232" s="451"/>
      <c r="P232" s="451"/>
      <c r="Q232" s="451"/>
      <c r="R232" s="451"/>
      <c r="S232" s="445">
        <f t="shared" si="34"/>
        <v>0</v>
      </c>
      <c r="T232" s="451"/>
      <c r="U232" s="451"/>
      <c r="V232" s="451"/>
    </row>
    <row r="233" spans="1:22" s="441" customFormat="1" ht="39.75" customHeight="1">
      <c r="A233" s="570"/>
      <c r="B233" s="570"/>
      <c r="C233" s="589">
        <v>6800</v>
      </c>
      <c r="D233" s="450" t="s">
        <v>299</v>
      </c>
      <c r="E233" s="502">
        <f aca="true" t="shared" si="60" ref="E233:E298">F233+S233</f>
        <v>0</v>
      </c>
      <c r="F233" s="445">
        <f t="shared" si="45"/>
        <v>0</v>
      </c>
      <c r="G233" s="445">
        <f t="shared" si="46"/>
        <v>0</v>
      </c>
      <c r="H233" s="460"/>
      <c r="I233" s="445">
        <f t="shared" si="48"/>
        <v>0</v>
      </c>
      <c r="J233" s="451"/>
      <c r="K233" s="451"/>
      <c r="L233" s="451"/>
      <c r="M233" s="451"/>
      <c r="N233" s="451"/>
      <c r="O233" s="451"/>
      <c r="P233" s="451"/>
      <c r="Q233" s="451"/>
      <c r="R233" s="451"/>
      <c r="S233" s="445">
        <f t="shared" si="34"/>
        <v>0</v>
      </c>
      <c r="T233" s="451"/>
      <c r="U233" s="451"/>
      <c r="V233" s="451"/>
    </row>
    <row r="234" spans="1:22" s="446" customFormat="1" ht="31.5">
      <c r="A234" s="570">
        <v>801</v>
      </c>
      <c r="B234" s="570"/>
      <c r="C234" s="587"/>
      <c r="D234" s="311" t="s">
        <v>232</v>
      </c>
      <c r="E234" s="502">
        <f t="shared" si="60"/>
        <v>14512288</v>
      </c>
      <c r="F234" s="445">
        <f aca="true" t="shared" si="61" ref="F234:F299">G234+N234+O234+P234+Q234+R234</f>
        <v>14475088</v>
      </c>
      <c r="G234" s="445">
        <f aca="true" t="shared" si="62" ref="G234:G299">H234+I234</f>
        <v>14040572</v>
      </c>
      <c r="H234" s="445">
        <f>SUM(H235+H244+H268+H280+H313+H337+H344+H349+H362)</f>
        <v>2400688</v>
      </c>
      <c r="I234" s="445">
        <f aca="true" t="shared" si="63" ref="I234:I299">SUM(J234:M234)</f>
        <v>11639884</v>
      </c>
      <c r="J234" s="445">
        <f aca="true" t="shared" si="64" ref="J234:R234">SUM(J235+J244+J268+J280+J313+J337+J344+J349+J362)</f>
        <v>9105150</v>
      </c>
      <c r="K234" s="445">
        <f t="shared" si="64"/>
        <v>668918</v>
      </c>
      <c r="L234" s="445">
        <f t="shared" si="64"/>
        <v>1737259</v>
      </c>
      <c r="M234" s="445">
        <f t="shared" si="64"/>
        <v>128557</v>
      </c>
      <c r="N234" s="445">
        <f t="shared" si="64"/>
        <v>383916</v>
      </c>
      <c r="O234" s="445">
        <f t="shared" si="64"/>
        <v>47350</v>
      </c>
      <c r="P234" s="445">
        <f>SUM(P235+P244+P268+P280+P313+P337+P344+P349+P362)</f>
        <v>0</v>
      </c>
      <c r="Q234" s="445">
        <f t="shared" si="64"/>
        <v>0</v>
      </c>
      <c r="R234" s="445">
        <f t="shared" si="64"/>
        <v>3250</v>
      </c>
      <c r="S234" s="445">
        <f aca="true" t="shared" si="65" ref="S234:S299">T234+V234</f>
        <v>37200</v>
      </c>
      <c r="T234" s="445">
        <f>SUM(T235+T244+T268+T280+T313+T337+T344+T349+T362)</f>
        <v>37200</v>
      </c>
      <c r="U234" s="445">
        <f>SUM(U235+U244+U268+U280+U313+U337+U344+U349+U362)</f>
        <v>11200</v>
      </c>
      <c r="V234" s="445">
        <f>SUM(V235+V244+V268+V280+V313+V337+V344+V349+V362)</f>
        <v>0</v>
      </c>
    </row>
    <row r="235" spans="1:22" s="449" customFormat="1" ht="31.5">
      <c r="A235" s="570"/>
      <c r="B235" s="571">
        <v>80102</v>
      </c>
      <c r="C235" s="588"/>
      <c r="D235" s="262" t="s">
        <v>233</v>
      </c>
      <c r="E235" s="502">
        <f t="shared" si="60"/>
        <v>1014971</v>
      </c>
      <c r="F235" s="445">
        <f t="shared" si="61"/>
        <v>1014971</v>
      </c>
      <c r="G235" s="445">
        <f t="shared" si="62"/>
        <v>1009361</v>
      </c>
      <c r="H235" s="448">
        <f>SUM(H237:H243)</f>
        <v>36755</v>
      </c>
      <c r="I235" s="445">
        <f t="shared" si="63"/>
        <v>972606</v>
      </c>
      <c r="J235" s="448">
        <f aca="true" t="shared" si="66" ref="J235:R235">SUM(J237:J243)</f>
        <v>766378</v>
      </c>
      <c r="K235" s="448">
        <f t="shared" si="66"/>
        <v>63777</v>
      </c>
      <c r="L235" s="448">
        <f t="shared" si="66"/>
        <v>142451</v>
      </c>
      <c r="M235" s="448">
        <f t="shared" si="66"/>
        <v>0</v>
      </c>
      <c r="N235" s="448">
        <f t="shared" si="66"/>
        <v>2360</v>
      </c>
      <c r="O235" s="448">
        <f t="shared" si="66"/>
        <v>0</v>
      </c>
      <c r="P235" s="448">
        <f>SUM(P237:P243)</f>
        <v>0</v>
      </c>
      <c r="Q235" s="448">
        <f t="shared" si="66"/>
        <v>0</v>
      </c>
      <c r="R235" s="448">
        <f t="shared" si="66"/>
        <v>3250</v>
      </c>
      <c r="S235" s="445">
        <f t="shared" si="65"/>
        <v>0</v>
      </c>
      <c r="T235" s="448">
        <f>SUM(T237:T243)</f>
        <v>0</v>
      </c>
      <c r="U235" s="448">
        <f>SUM(U237:U243)</f>
        <v>0</v>
      </c>
      <c r="V235" s="448">
        <f>SUM(V237:V243)</f>
        <v>0</v>
      </c>
    </row>
    <row r="236" spans="1:22" s="449" customFormat="1" ht="90" customHeight="1">
      <c r="A236" s="570"/>
      <c r="B236" s="571"/>
      <c r="C236" s="589">
        <v>6300</v>
      </c>
      <c r="D236" s="450" t="s">
        <v>660</v>
      </c>
      <c r="E236" s="502">
        <f t="shared" si="60"/>
        <v>0</v>
      </c>
      <c r="F236" s="445">
        <f t="shared" si="61"/>
        <v>0</v>
      </c>
      <c r="G236" s="445">
        <f t="shared" si="62"/>
        <v>0</v>
      </c>
      <c r="H236" s="448"/>
      <c r="I236" s="445">
        <f t="shared" si="63"/>
        <v>0</v>
      </c>
      <c r="J236" s="448"/>
      <c r="K236" s="448"/>
      <c r="L236" s="448"/>
      <c r="M236" s="448"/>
      <c r="N236" s="448"/>
      <c r="O236" s="448"/>
      <c r="P236" s="448"/>
      <c r="Q236" s="448"/>
      <c r="R236" s="448"/>
      <c r="S236" s="445">
        <f t="shared" si="65"/>
        <v>0</v>
      </c>
      <c r="T236" s="448"/>
      <c r="U236" s="448"/>
      <c r="V236" s="448"/>
    </row>
    <row r="237" spans="1:22" s="441" customFormat="1" ht="45">
      <c r="A237" s="570"/>
      <c r="B237" s="570"/>
      <c r="C237" s="589">
        <v>3020</v>
      </c>
      <c r="D237" s="450" t="s">
        <v>386</v>
      </c>
      <c r="E237" s="502">
        <f t="shared" si="60"/>
        <v>2360</v>
      </c>
      <c r="F237" s="445">
        <f t="shared" si="61"/>
        <v>2360</v>
      </c>
      <c r="G237" s="445">
        <f t="shared" si="62"/>
        <v>0</v>
      </c>
      <c r="H237" s="451"/>
      <c r="I237" s="445">
        <f t="shared" si="63"/>
        <v>0</v>
      </c>
      <c r="J237" s="451"/>
      <c r="K237" s="451"/>
      <c r="L237" s="451"/>
      <c r="M237" s="451"/>
      <c r="N237" s="451">
        <v>2360</v>
      </c>
      <c r="O237" s="451"/>
      <c r="P237" s="451"/>
      <c r="Q237" s="451"/>
      <c r="R237" s="451"/>
      <c r="S237" s="445">
        <f t="shared" si="65"/>
        <v>0</v>
      </c>
      <c r="T237" s="451"/>
      <c r="U237" s="451"/>
      <c r="V237" s="451"/>
    </row>
    <row r="238" spans="1:22" s="441" customFormat="1" ht="30">
      <c r="A238" s="570"/>
      <c r="B238" s="570"/>
      <c r="C238" s="589">
        <v>4010</v>
      </c>
      <c r="D238" s="450" t="s">
        <v>102</v>
      </c>
      <c r="E238" s="502">
        <f t="shared" si="60"/>
        <v>766378</v>
      </c>
      <c r="F238" s="445">
        <f t="shared" si="61"/>
        <v>766378</v>
      </c>
      <c r="G238" s="445">
        <f t="shared" si="62"/>
        <v>766378</v>
      </c>
      <c r="H238" s="451"/>
      <c r="I238" s="445">
        <f t="shared" si="63"/>
        <v>766378</v>
      </c>
      <c r="J238" s="451">
        <v>766378</v>
      </c>
      <c r="K238" s="451"/>
      <c r="L238" s="451"/>
      <c r="M238" s="451"/>
      <c r="N238" s="451"/>
      <c r="O238" s="451"/>
      <c r="P238" s="451"/>
      <c r="Q238" s="451"/>
      <c r="R238" s="451"/>
      <c r="S238" s="445">
        <f t="shared" si="65"/>
        <v>0</v>
      </c>
      <c r="T238" s="451"/>
      <c r="U238" s="451"/>
      <c r="V238" s="451"/>
    </row>
    <row r="239" spans="1:22" s="441" customFormat="1" ht="34.5" customHeight="1">
      <c r="A239" s="570"/>
      <c r="B239" s="570"/>
      <c r="C239" s="589">
        <v>4040</v>
      </c>
      <c r="D239" s="450" t="s">
        <v>103</v>
      </c>
      <c r="E239" s="502">
        <f t="shared" si="60"/>
        <v>63777</v>
      </c>
      <c r="F239" s="445">
        <f t="shared" si="61"/>
        <v>63777</v>
      </c>
      <c r="G239" s="445">
        <f t="shared" si="62"/>
        <v>63777</v>
      </c>
      <c r="H239" s="451"/>
      <c r="I239" s="445">
        <f t="shared" si="63"/>
        <v>63777</v>
      </c>
      <c r="J239" s="451"/>
      <c r="K239" s="451">
        <v>63777</v>
      </c>
      <c r="L239" s="451"/>
      <c r="M239" s="451"/>
      <c r="N239" s="451"/>
      <c r="O239" s="451"/>
      <c r="P239" s="451"/>
      <c r="Q239" s="451"/>
      <c r="R239" s="451"/>
      <c r="S239" s="445">
        <f t="shared" si="65"/>
        <v>0</v>
      </c>
      <c r="T239" s="451"/>
      <c r="U239" s="451"/>
      <c r="V239" s="451"/>
    </row>
    <row r="240" spans="1:22" s="441" customFormat="1" ht="45">
      <c r="A240" s="570"/>
      <c r="B240" s="570"/>
      <c r="C240" s="589">
        <v>4110</v>
      </c>
      <c r="D240" s="450" t="s">
        <v>234</v>
      </c>
      <c r="E240" s="502">
        <f t="shared" si="60"/>
        <v>123754</v>
      </c>
      <c r="F240" s="445">
        <f t="shared" si="61"/>
        <v>123754</v>
      </c>
      <c r="G240" s="445">
        <f t="shared" si="62"/>
        <v>123754</v>
      </c>
      <c r="H240" s="451"/>
      <c r="I240" s="445">
        <f t="shared" si="63"/>
        <v>123754</v>
      </c>
      <c r="J240" s="451"/>
      <c r="K240" s="451"/>
      <c r="L240" s="451">
        <v>123754</v>
      </c>
      <c r="M240" s="451"/>
      <c r="N240" s="451"/>
      <c r="O240" s="451"/>
      <c r="P240" s="451"/>
      <c r="Q240" s="451"/>
      <c r="R240" s="451"/>
      <c r="S240" s="445">
        <f t="shared" si="65"/>
        <v>0</v>
      </c>
      <c r="T240" s="451"/>
      <c r="U240" s="451"/>
      <c r="V240" s="451"/>
    </row>
    <row r="241" spans="1:22" s="441" customFormat="1" ht="30">
      <c r="A241" s="570"/>
      <c r="B241" s="570"/>
      <c r="C241" s="589">
        <v>4120</v>
      </c>
      <c r="D241" s="450" t="s">
        <v>105</v>
      </c>
      <c r="E241" s="502">
        <f t="shared" si="60"/>
        <v>18697</v>
      </c>
      <c r="F241" s="445">
        <f t="shared" si="61"/>
        <v>18697</v>
      </c>
      <c r="G241" s="445">
        <f t="shared" si="62"/>
        <v>18697</v>
      </c>
      <c r="H241" s="451"/>
      <c r="I241" s="445">
        <f t="shared" si="63"/>
        <v>18697</v>
      </c>
      <c r="J241" s="451"/>
      <c r="K241" s="451"/>
      <c r="L241" s="451">
        <v>18697</v>
      </c>
      <c r="M241" s="451"/>
      <c r="N241" s="451"/>
      <c r="O241" s="451"/>
      <c r="P241" s="451"/>
      <c r="Q241" s="451"/>
      <c r="R241" s="451"/>
      <c r="S241" s="445">
        <f t="shared" si="65"/>
        <v>0</v>
      </c>
      <c r="T241" s="451"/>
      <c r="U241" s="451"/>
      <c r="V241" s="451"/>
    </row>
    <row r="242" spans="1:22" s="441" customFormat="1" ht="47.25" customHeight="1">
      <c r="A242" s="570"/>
      <c r="B242" s="570"/>
      <c r="C242" s="589">
        <v>4249</v>
      </c>
      <c r="D242" s="450" t="s">
        <v>244</v>
      </c>
      <c r="E242" s="502">
        <f>F242+S242</f>
        <v>3250</v>
      </c>
      <c r="F242" s="445">
        <f>G242+N242+O242+P242+Q242+R242</f>
        <v>3250</v>
      </c>
      <c r="G242" s="445">
        <f>H242+I242</f>
        <v>0</v>
      </c>
      <c r="H242" s="451"/>
      <c r="I242" s="445">
        <f>SUM(J242:M242)</f>
        <v>0</v>
      </c>
      <c r="J242" s="451"/>
      <c r="K242" s="451"/>
      <c r="L242" s="451"/>
      <c r="M242" s="451"/>
      <c r="N242" s="451"/>
      <c r="O242" s="451"/>
      <c r="P242" s="451"/>
      <c r="Q242" s="451"/>
      <c r="R242" s="451">
        <v>3250</v>
      </c>
      <c r="S242" s="445">
        <f>T242+V242</f>
        <v>0</v>
      </c>
      <c r="T242" s="451"/>
      <c r="U242" s="451"/>
      <c r="V242" s="451"/>
    </row>
    <row r="243" spans="1:22" s="441" customFormat="1" ht="47.25" customHeight="1">
      <c r="A243" s="570"/>
      <c r="B243" s="570"/>
      <c r="C243" s="589">
        <v>4440</v>
      </c>
      <c r="D243" s="450" t="s">
        <v>117</v>
      </c>
      <c r="E243" s="502">
        <f t="shared" si="60"/>
        <v>36755</v>
      </c>
      <c r="F243" s="445">
        <f t="shared" si="61"/>
        <v>36755</v>
      </c>
      <c r="G243" s="445">
        <f t="shared" si="62"/>
        <v>36755</v>
      </c>
      <c r="H243" s="451">
        <v>36755</v>
      </c>
      <c r="I243" s="445">
        <f t="shared" si="63"/>
        <v>0</v>
      </c>
      <c r="J243" s="451"/>
      <c r="K243" s="451"/>
      <c r="L243" s="451"/>
      <c r="M243" s="451"/>
      <c r="N243" s="451"/>
      <c r="O243" s="451"/>
      <c r="P243" s="451"/>
      <c r="Q243" s="451"/>
      <c r="R243" s="451"/>
      <c r="S243" s="445">
        <f t="shared" si="65"/>
        <v>0</v>
      </c>
      <c r="T243" s="451"/>
      <c r="U243" s="451"/>
      <c r="V243" s="451"/>
    </row>
    <row r="244" spans="1:22" s="449" customFormat="1" ht="15.75">
      <c r="A244" s="570"/>
      <c r="B244" s="571">
        <v>80111</v>
      </c>
      <c r="C244" s="588"/>
      <c r="D244" s="262" t="s">
        <v>235</v>
      </c>
      <c r="E244" s="502">
        <f t="shared" si="60"/>
        <v>1015212</v>
      </c>
      <c r="F244" s="445">
        <f t="shared" si="61"/>
        <v>1015212</v>
      </c>
      <c r="G244" s="445">
        <f t="shared" si="62"/>
        <v>1008482</v>
      </c>
      <c r="H244" s="448">
        <f>SUM(H245:H267)</f>
        <v>203673</v>
      </c>
      <c r="I244" s="445">
        <f t="shared" si="63"/>
        <v>804809</v>
      </c>
      <c r="J244" s="448">
        <f aca="true" t="shared" si="67" ref="J244:R244">SUM(J245:J267)</f>
        <v>646619</v>
      </c>
      <c r="K244" s="448">
        <f t="shared" si="67"/>
        <v>37506</v>
      </c>
      <c r="L244" s="448">
        <f t="shared" si="67"/>
        <v>118054</v>
      </c>
      <c r="M244" s="448">
        <f t="shared" si="67"/>
        <v>2630</v>
      </c>
      <c r="N244" s="448">
        <f t="shared" si="67"/>
        <v>6730</v>
      </c>
      <c r="O244" s="448">
        <f t="shared" si="67"/>
        <v>0</v>
      </c>
      <c r="P244" s="448">
        <f>SUM(P245:P267)</f>
        <v>0</v>
      </c>
      <c r="Q244" s="448">
        <f t="shared" si="67"/>
        <v>0</v>
      </c>
      <c r="R244" s="448">
        <f t="shared" si="67"/>
        <v>0</v>
      </c>
      <c r="S244" s="445">
        <f t="shared" si="65"/>
        <v>0</v>
      </c>
      <c r="T244" s="448">
        <f>SUM(T245:T267)</f>
        <v>0</v>
      </c>
      <c r="U244" s="448">
        <f>SUM(U245:U267)</f>
        <v>0</v>
      </c>
      <c r="V244" s="448">
        <f>SUM(V245:V267)</f>
        <v>0</v>
      </c>
    </row>
    <row r="245" spans="1:22" s="441" customFormat="1" ht="45">
      <c r="A245" s="570"/>
      <c r="B245" s="570"/>
      <c r="C245" s="589">
        <v>3020</v>
      </c>
      <c r="D245" s="450" t="s">
        <v>386</v>
      </c>
      <c r="E245" s="502">
        <f t="shared" si="60"/>
        <v>6730</v>
      </c>
      <c r="F245" s="445">
        <f t="shared" si="61"/>
        <v>6730</v>
      </c>
      <c r="G245" s="445">
        <f t="shared" si="62"/>
        <v>0</v>
      </c>
      <c r="H245" s="451"/>
      <c r="I245" s="445">
        <f t="shared" si="63"/>
        <v>0</v>
      </c>
      <c r="J245" s="451"/>
      <c r="K245" s="451"/>
      <c r="L245" s="451"/>
      <c r="M245" s="451"/>
      <c r="N245" s="451">
        <v>6730</v>
      </c>
      <c r="O245" s="451"/>
      <c r="P245" s="451"/>
      <c r="Q245" s="451"/>
      <c r="R245" s="451"/>
      <c r="S245" s="445">
        <f t="shared" si="65"/>
        <v>0</v>
      </c>
      <c r="T245" s="451"/>
      <c r="U245" s="451"/>
      <c r="V245" s="451"/>
    </row>
    <row r="246" spans="1:22" s="441" customFormat="1" ht="30">
      <c r="A246" s="570"/>
      <c r="B246" s="570"/>
      <c r="C246" s="589">
        <v>4010</v>
      </c>
      <c r="D246" s="450" t="s">
        <v>102</v>
      </c>
      <c r="E246" s="502">
        <f t="shared" si="60"/>
        <v>646619</v>
      </c>
      <c r="F246" s="445">
        <f t="shared" si="61"/>
        <v>646619</v>
      </c>
      <c r="G246" s="445">
        <f t="shared" si="62"/>
        <v>646619</v>
      </c>
      <c r="H246" s="451"/>
      <c r="I246" s="445">
        <f t="shared" si="63"/>
        <v>646619</v>
      </c>
      <c r="J246" s="451">
        <v>646619</v>
      </c>
      <c r="K246" s="451"/>
      <c r="L246" s="451"/>
      <c r="M246" s="451"/>
      <c r="N246" s="451"/>
      <c r="O246" s="451"/>
      <c r="P246" s="451"/>
      <c r="Q246" s="451"/>
      <c r="R246" s="451"/>
      <c r="S246" s="445">
        <f t="shared" si="65"/>
        <v>0</v>
      </c>
      <c r="T246" s="451"/>
      <c r="U246" s="451"/>
      <c r="V246" s="451"/>
    </row>
    <row r="247" spans="1:22" s="441" customFormat="1" ht="30">
      <c r="A247" s="570"/>
      <c r="B247" s="570"/>
      <c r="C247" s="589">
        <v>4040</v>
      </c>
      <c r="D247" s="450" t="s">
        <v>103</v>
      </c>
      <c r="E247" s="502">
        <f t="shared" si="60"/>
        <v>37506</v>
      </c>
      <c r="F247" s="445">
        <f t="shared" si="61"/>
        <v>37506</v>
      </c>
      <c r="G247" s="445">
        <f t="shared" si="62"/>
        <v>37506</v>
      </c>
      <c r="H247" s="451"/>
      <c r="I247" s="445">
        <f t="shared" si="63"/>
        <v>37506</v>
      </c>
      <c r="J247" s="451"/>
      <c r="K247" s="451">
        <v>37506</v>
      </c>
      <c r="L247" s="451"/>
      <c r="M247" s="451"/>
      <c r="N247" s="451"/>
      <c r="O247" s="451"/>
      <c r="P247" s="451"/>
      <c r="Q247" s="451"/>
      <c r="R247" s="451"/>
      <c r="S247" s="445">
        <f t="shared" si="65"/>
        <v>0</v>
      </c>
      <c r="T247" s="451"/>
      <c r="U247" s="451"/>
      <c r="V247" s="451"/>
    </row>
    <row r="248" spans="1:22" s="441" customFormat="1" ht="45">
      <c r="A248" s="570"/>
      <c r="B248" s="570"/>
      <c r="C248" s="589">
        <v>4110</v>
      </c>
      <c r="D248" s="450" t="s">
        <v>234</v>
      </c>
      <c r="E248" s="502">
        <f t="shared" si="60"/>
        <v>101756</v>
      </c>
      <c r="F248" s="445">
        <f t="shared" si="61"/>
        <v>101756</v>
      </c>
      <c r="G248" s="445">
        <f t="shared" si="62"/>
        <v>101756</v>
      </c>
      <c r="H248" s="451"/>
      <c r="I248" s="445">
        <f t="shared" si="63"/>
        <v>101756</v>
      </c>
      <c r="J248" s="451"/>
      <c r="K248" s="451"/>
      <c r="L248" s="451">
        <v>101756</v>
      </c>
      <c r="M248" s="451"/>
      <c r="N248" s="451"/>
      <c r="O248" s="451"/>
      <c r="P248" s="451"/>
      <c r="Q248" s="451"/>
      <c r="R248" s="451"/>
      <c r="S248" s="445">
        <f t="shared" si="65"/>
        <v>0</v>
      </c>
      <c r="T248" s="451"/>
      <c r="U248" s="451"/>
      <c r="V248" s="451"/>
    </row>
    <row r="249" spans="1:22" s="441" customFormat="1" ht="30">
      <c r="A249" s="570"/>
      <c r="B249" s="570"/>
      <c r="C249" s="589">
        <v>4120</v>
      </c>
      <c r="D249" s="450" t="s">
        <v>236</v>
      </c>
      <c r="E249" s="502">
        <f t="shared" si="60"/>
        <v>16298</v>
      </c>
      <c r="F249" s="445">
        <f t="shared" si="61"/>
        <v>16298</v>
      </c>
      <c r="G249" s="445">
        <f t="shared" si="62"/>
        <v>16298</v>
      </c>
      <c r="H249" s="451"/>
      <c r="I249" s="445">
        <f t="shared" si="63"/>
        <v>16298</v>
      </c>
      <c r="J249" s="451"/>
      <c r="K249" s="451"/>
      <c r="L249" s="451">
        <v>16298</v>
      </c>
      <c r="M249" s="451"/>
      <c r="N249" s="451"/>
      <c r="O249" s="451"/>
      <c r="P249" s="451"/>
      <c r="Q249" s="451"/>
      <c r="R249" s="451"/>
      <c r="S249" s="445">
        <f t="shared" si="65"/>
        <v>0</v>
      </c>
      <c r="T249" s="451"/>
      <c r="U249" s="451"/>
      <c r="V249" s="451"/>
    </row>
    <row r="250" spans="1:22" s="441" customFormat="1" ht="33" customHeight="1">
      <c r="A250" s="570"/>
      <c r="B250" s="570"/>
      <c r="C250" s="589">
        <v>4170</v>
      </c>
      <c r="D250" s="450" t="s">
        <v>196</v>
      </c>
      <c r="E250" s="502">
        <f t="shared" si="60"/>
        <v>2630</v>
      </c>
      <c r="F250" s="445">
        <f t="shared" si="61"/>
        <v>2630</v>
      </c>
      <c r="G250" s="445">
        <f t="shared" si="62"/>
        <v>2630</v>
      </c>
      <c r="H250" s="451"/>
      <c r="I250" s="445">
        <f t="shared" si="63"/>
        <v>2630</v>
      </c>
      <c r="J250" s="451"/>
      <c r="K250" s="451"/>
      <c r="L250" s="451"/>
      <c r="M250" s="451">
        <v>2630</v>
      </c>
      <c r="N250" s="451"/>
      <c r="O250" s="451"/>
      <c r="P250" s="451"/>
      <c r="Q250" s="451"/>
      <c r="R250" s="451"/>
      <c r="S250" s="445">
        <f t="shared" si="65"/>
        <v>0</v>
      </c>
      <c r="T250" s="451"/>
      <c r="U250" s="451"/>
      <c r="V250" s="451"/>
    </row>
    <row r="251" spans="1:22" s="441" customFormat="1" ht="30">
      <c r="A251" s="570"/>
      <c r="B251" s="570"/>
      <c r="C251" s="589">
        <v>4210</v>
      </c>
      <c r="D251" s="450" t="s">
        <v>107</v>
      </c>
      <c r="E251" s="502">
        <f t="shared" si="60"/>
        <v>18200</v>
      </c>
      <c r="F251" s="445">
        <f t="shared" si="61"/>
        <v>18200</v>
      </c>
      <c r="G251" s="445">
        <f t="shared" si="62"/>
        <v>18200</v>
      </c>
      <c r="H251" s="451">
        <v>18200</v>
      </c>
      <c r="I251" s="445">
        <f t="shared" si="63"/>
        <v>0</v>
      </c>
      <c r="J251" s="451"/>
      <c r="K251" s="451"/>
      <c r="L251" s="451"/>
      <c r="M251" s="451"/>
      <c r="N251" s="451"/>
      <c r="O251" s="451"/>
      <c r="P251" s="451"/>
      <c r="Q251" s="451"/>
      <c r="R251" s="451"/>
      <c r="S251" s="445">
        <f t="shared" si="65"/>
        <v>0</v>
      </c>
      <c r="T251" s="451"/>
      <c r="U251" s="451"/>
      <c r="V251" s="451"/>
    </row>
    <row r="252" spans="1:22" s="441" customFormat="1" ht="45" customHeight="1">
      <c r="A252" s="570"/>
      <c r="B252" s="570"/>
      <c r="C252" s="589">
        <v>4240</v>
      </c>
      <c r="D252" s="450" t="s">
        <v>237</v>
      </c>
      <c r="E252" s="502">
        <f t="shared" si="60"/>
        <v>0</v>
      </c>
      <c r="F252" s="445">
        <f t="shared" si="61"/>
        <v>0</v>
      </c>
      <c r="G252" s="445">
        <f t="shared" si="62"/>
        <v>0</v>
      </c>
      <c r="H252" s="451"/>
      <c r="I252" s="445">
        <f t="shared" si="63"/>
        <v>0</v>
      </c>
      <c r="J252" s="451"/>
      <c r="K252" s="451"/>
      <c r="L252" s="451"/>
      <c r="M252" s="451"/>
      <c r="N252" s="451"/>
      <c r="O252" s="451"/>
      <c r="P252" s="451"/>
      <c r="Q252" s="451"/>
      <c r="R252" s="451"/>
      <c r="S252" s="445">
        <f t="shared" si="65"/>
        <v>0</v>
      </c>
      <c r="T252" s="451"/>
      <c r="U252" s="451"/>
      <c r="V252" s="451"/>
    </row>
    <row r="253" spans="1:22" s="441" customFormat="1" ht="15.75">
      <c r="A253" s="570"/>
      <c r="B253" s="570"/>
      <c r="C253" s="589">
        <v>4260</v>
      </c>
      <c r="D253" s="450" t="s">
        <v>108</v>
      </c>
      <c r="E253" s="502">
        <f t="shared" si="60"/>
        <v>86230</v>
      </c>
      <c r="F253" s="445">
        <f t="shared" si="61"/>
        <v>86230</v>
      </c>
      <c r="G253" s="445">
        <f t="shared" si="62"/>
        <v>86230</v>
      </c>
      <c r="H253" s="451">
        <v>86230</v>
      </c>
      <c r="I253" s="445">
        <f t="shared" si="63"/>
        <v>0</v>
      </c>
      <c r="J253" s="451"/>
      <c r="K253" s="451"/>
      <c r="L253" s="451"/>
      <c r="M253" s="451"/>
      <c r="N253" s="451"/>
      <c r="O253" s="451"/>
      <c r="P253" s="451"/>
      <c r="Q253" s="451"/>
      <c r="R253" s="451"/>
      <c r="S253" s="445">
        <f t="shared" si="65"/>
        <v>0</v>
      </c>
      <c r="T253" s="451"/>
      <c r="U253" s="451"/>
      <c r="V253" s="451"/>
    </row>
    <row r="254" spans="1:22" s="441" customFormat="1" ht="30">
      <c r="A254" s="570"/>
      <c r="B254" s="570"/>
      <c r="C254" s="589">
        <v>4270</v>
      </c>
      <c r="D254" s="450" t="s">
        <v>124</v>
      </c>
      <c r="E254" s="502">
        <f t="shared" si="60"/>
        <v>3700</v>
      </c>
      <c r="F254" s="445">
        <f t="shared" si="61"/>
        <v>3700</v>
      </c>
      <c r="G254" s="445">
        <f t="shared" si="62"/>
        <v>3700</v>
      </c>
      <c r="H254" s="451">
        <v>3700</v>
      </c>
      <c r="I254" s="445">
        <f t="shared" si="63"/>
        <v>0</v>
      </c>
      <c r="J254" s="451"/>
      <c r="K254" s="451"/>
      <c r="L254" s="451"/>
      <c r="M254" s="451"/>
      <c r="N254" s="451"/>
      <c r="O254" s="451"/>
      <c r="P254" s="451"/>
      <c r="Q254" s="451"/>
      <c r="R254" s="451"/>
      <c r="S254" s="445">
        <f t="shared" si="65"/>
        <v>0</v>
      </c>
      <c r="T254" s="451"/>
      <c r="U254" s="451"/>
      <c r="V254" s="451"/>
    </row>
    <row r="255" spans="1:22" s="441" customFormat="1" ht="48.75" customHeight="1">
      <c r="A255" s="570"/>
      <c r="B255" s="570"/>
      <c r="C255" s="589">
        <v>4280</v>
      </c>
      <c r="D255" s="450" t="s">
        <v>110</v>
      </c>
      <c r="E255" s="502">
        <f t="shared" si="60"/>
        <v>1500</v>
      </c>
      <c r="F255" s="445">
        <f t="shared" si="61"/>
        <v>1500</v>
      </c>
      <c r="G255" s="445">
        <f t="shared" si="62"/>
        <v>1500</v>
      </c>
      <c r="H255" s="451">
        <v>1500</v>
      </c>
      <c r="I255" s="445">
        <f t="shared" si="63"/>
        <v>0</v>
      </c>
      <c r="J255" s="451"/>
      <c r="K255" s="451"/>
      <c r="L255" s="451"/>
      <c r="M255" s="451"/>
      <c r="N255" s="451"/>
      <c r="O255" s="451"/>
      <c r="P255" s="451"/>
      <c r="Q255" s="451"/>
      <c r="R255" s="451"/>
      <c r="S255" s="445">
        <f t="shared" si="65"/>
        <v>0</v>
      </c>
      <c r="T255" s="451"/>
      <c r="U255" s="451"/>
      <c r="V255" s="451"/>
    </row>
    <row r="256" spans="1:22" s="441" customFormat="1" ht="30">
      <c r="A256" s="570"/>
      <c r="B256" s="570"/>
      <c r="C256" s="589">
        <v>4300</v>
      </c>
      <c r="D256" s="450" t="s">
        <v>90</v>
      </c>
      <c r="E256" s="502">
        <f t="shared" si="60"/>
        <v>45220</v>
      </c>
      <c r="F256" s="445">
        <f t="shared" si="61"/>
        <v>45220</v>
      </c>
      <c r="G256" s="445">
        <f t="shared" si="62"/>
        <v>45220</v>
      </c>
      <c r="H256" s="451">
        <v>45220</v>
      </c>
      <c r="I256" s="445">
        <f t="shared" si="63"/>
        <v>0</v>
      </c>
      <c r="J256" s="451"/>
      <c r="K256" s="451"/>
      <c r="L256" s="451"/>
      <c r="M256" s="451"/>
      <c r="N256" s="451"/>
      <c r="O256" s="451"/>
      <c r="P256" s="451"/>
      <c r="Q256" s="451"/>
      <c r="R256" s="451"/>
      <c r="S256" s="445">
        <f t="shared" si="65"/>
        <v>0</v>
      </c>
      <c r="T256" s="451"/>
      <c r="U256" s="451"/>
      <c r="V256" s="451"/>
    </row>
    <row r="257" spans="1:22" s="441" customFormat="1" ht="30">
      <c r="A257" s="570"/>
      <c r="B257" s="570"/>
      <c r="C257" s="589">
        <v>4350</v>
      </c>
      <c r="D257" s="450" t="s">
        <v>111</v>
      </c>
      <c r="E257" s="502">
        <f t="shared" si="60"/>
        <v>2220</v>
      </c>
      <c r="F257" s="445">
        <f t="shared" si="61"/>
        <v>2220</v>
      </c>
      <c r="G257" s="445">
        <f t="shared" si="62"/>
        <v>2220</v>
      </c>
      <c r="H257" s="451">
        <v>2220</v>
      </c>
      <c r="I257" s="445">
        <f t="shared" si="63"/>
        <v>0</v>
      </c>
      <c r="J257" s="451"/>
      <c r="K257" s="451"/>
      <c r="L257" s="451"/>
      <c r="M257" s="451"/>
      <c r="N257" s="451"/>
      <c r="O257" s="451"/>
      <c r="P257" s="451"/>
      <c r="Q257" s="451"/>
      <c r="R257" s="451"/>
      <c r="S257" s="445">
        <f t="shared" si="65"/>
        <v>0</v>
      </c>
      <c r="T257" s="451"/>
      <c r="U257" s="451"/>
      <c r="V257" s="451"/>
    </row>
    <row r="258" spans="1:22" s="441" customFormat="1" ht="60">
      <c r="A258" s="570"/>
      <c r="B258" s="570"/>
      <c r="C258" s="589">
        <v>4360</v>
      </c>
      <c r="D258" s="450" t="s">
        <v>245</v>
      </c>
      <c r="E258" s="502">
        <f>F258+S258</f>
        <v>1000</v>
      </c>
      <c r="F258" s="445">
        <f>G258+N258+O258+P258+Q258+R258</f>
        <v>1000</v>
      </c>
      <c r="G258" s="445">
        <f>H258+I258</f>
        <v>1000</v>
      </c>
      <c r="H258" s="451">
        <v>1000</v>
      </c>
      <c r="I258" s="445">
        <f>SUM(J258:M258)</f>
        <v>0</v>
      </c>
      <c r="J258" s="451"/>
      <c r="K258" s="451"/>
      <c r="L258" s="451"/>
      <c r="M258" s="451"/>
      <c r="N258" s="451"/>
      <c r="O258" s="451"/>
      <c r="P258" s="451"/>
      <c r="Q258" s="451"/>
      <c r="R258" s="451"/>
      <c r="S258" s="445">
        <f>T258+V258</f>
        <v>0</v>
      </c>
      <c r="T258" s="451"/>
      <c r="U258" s="451"/>
      <c r="V258" s="451"/>
    </row>
    <row r="259" spans="1:22" s="441" customFormat="1" ht="60">
      <c r="A259" s="570"/>
      <c r="B259" s="570"/>
      <c r="C259" s="589">
        <v>4370</v>
      </c>
      <c r="D259" s="450" t="s">
        <v>238</v>
      </c>
      <c r="E259" s="502">
        <f t="shared" si="60"/>
        <v>3910</v>
      </c>
      <c r="F259" s="445">
        <f t="shared" si="61"/>
        <v>3910</v>
      </c>
      <c r="G259" s="445">
        <f t="shared" si="62"/>
        <v>3910</v>
      </c>
      <c r="H259" s="451">
        <v>3910</v>
      </c>
      <c r="I259" s="445">
        <f t="shared" si="63"/>
        <v>0</v>
      </c>
      <c r="J259" s="451"/>
      <c r="K259" s="451"/>
      <c r="L259" s="451"/>
      <c r="M259" s="451"/>
      <c r="N259" s="451"/>
      <c r="O259" s="451"/>
      <c r="P259" s="451"/>
      <c r="Q259" s="451"/>
      <c r="R259" s="451"/>
      <c r="S259" s="445">
        <f t="shared" si="65"/>
        <v>0</v>
      </c>
      <c r="T259" s="451"/>
      <c r="U259" s="451"/>
      <c r="V259" s="451"/>
    </row>
    <row r="260" spans="1:22" s="441" customFormat="1" ht="30">
      <c r="A260" s="570"/>
      <c r="B260" s="570"/>
      <c r="C260" s="589">
        <v>4410</v>
      </c>
      <c r="D260" s="450" t="s">
        <v>115</v>
      </c>
      <c r="E260" s="502">
        <f t="shared" si="60"/>
        <v>1060</v>
      </c>
      <c r="F260" s="445">
        <f t="shared" si="61"/>
        <v>1060</v>
      </c>
      <c r="G260" s="445">
        <f t="shared" si="62"/>
        <v>1060</v>
      </c>
      <c r="H260" s="451">
        <v>1060</v>
      </c>
      <c r="I260" s="445">
        <f t="shared" si="63"/>
        <v>0</v>
      </c>
      <c r="J260" s="451"/>
      <c r="K260" s="451"/>
      <c r="L260" s="451"/>
      <c r="M260" s="451"/>
      <c r="N260" s="451"/>
      <c r="O260" s="451"/>
      <c r="P260" s="451"/>
      <c r="Q260" s="451"/>
      <c r="R260" s="451"/>
      <c r="S260" s="445">
        <f t="shared" si="65"/>
        <v>0</v>
      </c>
      <c r="T260" s="451"/>
      <c r="U260" s="451"/>
      <c r="V260" s="451"/>
    </row>
    <row r="261" spans="1:22" s="441" customFormat="1" ht="15.75">
      <c r="A261" s="570"/>
      <c r="B261" s="570"/>
      <c r="C261" s="589">
        <v>4430</v>
      </c>
      <c r="D261" s="450" t="s">
        <v>116</v>
      </c>
      <c r="E261" s="502">
        <f t="shared" si="60"/>
        <v>3870</v>
      </c>
      <c r="F261" s="445">
        <f t="shared" si="61"/>
        <v>3870</v>
      </c>
      <c r="G261" s="445">
        <f t="shared" si="62"/>
        <v>3870</v>
      </c>
      <c r="H261" s="451">
        <v>3870</v>
      </c>
      <c r="I261" s="445">
        <f t="shared" si="63"/>
        <v>0</v>
      </c>
      <c r="J261" s="451"/>
      <c r="K261" s="451"/>
      <c r="L261" s="451"/>
      <c r="M261" s="451"/>
      <c r="N261" s="451"/>
      <c r="O261" s="451"/>
      <c r="P261" s="451"/>
      <c r="Q261" s="451"/>
      <c r="R261" s="451"/>
      <c r="S261" s="445">
        <f t="shared" si="65"/>
        <v>0</v>
      </c>
      <c r="T261" s="451"/>
      <c r="U261" s="451"/>
      <c r="V261" s="451"/>
    </row>
    <row r="262" spans="1:22" s="441" customFormat="1" ht="45">
      <c r="A262" s="570"/>
      <c r="B262" s="570"/>
      <c r="C262" s="589">
        <v>4440</v>
      </c>
      <c r="D262" s="450" t="s">
        <v>117</v>
      </c>
      <c r="E262" s="502">
        <f t="shared" si="60"/>
        <v>28953</v>
      </c>
      <c r="F262" s="445">
        <f t="shared" si="61"/>
        <v>28953</v>
      </c>
      <c r="G262" s="445">
        <f t="shared" si="62"/>
        <v>28953</v>
      </c>
      <c r="H262" s="451">
        <v>28953</v>
      </c>
      <c r="I262" s="445">
        <f t="shared" si="63"/>
        <v>0</v>
      </c>
      <c r="J262" s="451"/>
      <c r="K262" s="451"/>
      <c r="L262" s="451"/>
      <c r="M262" s="451"/>
      <c r="N262" s="451"/>
      <c r="O262" s="451"/>
      <c r="P262" s="451"/>
      <c r="Q262" s="451"/>
      <c r="R262" s="451"/>
      <c r="S262" s="445">
        <f t="shared" si="65"/>
        <v>0</v>
      </c>
      <c r="T262" s="451"/>
      <c r="U262" s="451"/>
      <c r="V262" s="451"/>
    </row>
    <row r="263" spans="1:22" s="441" customFormat="1" ht="30">
      <c r="A263" s="570"/>
      <c r="B263" s="570"/>
      <c r="C263" s="589">
        <v>4510</v>
      </c>
      <c r="D263" s="450" t="s">
        <v>420</v>
      </c>
      <c r="E263" s="502">
        <f t="shared" si="60"/>
        <v>310</v>
      </c>
      <c r="F263" s="445">
        <f t="shared" si="61"/>
        <v>310</v>
      </c>
      <c r="G263" s="445">
        <f t="shared" si="62"/>
        <v>310</v>
      </c>
      <c r="H263" s="451">
        <v>310</v>
      </c>
      <c r="I263" s="445">
        <f t="shared" si="63"/>
        <v>0</v>
      </c>
      <c r="J263" s="451"/>
      <c r="K263" s="451"/>
      <c r="L263" s="451"/>
      <c r="M263" s="451"/>
      <c r="N263" s="451"/>
      <c r="O263" s="451"/>
      <c r="P263" s="451"/>
      <c r="Q263" s="451"/>
      <c r="R263" s="451"/>
      <c r="S263" s="445">
        <f t="shared" si="65"/>
        <v>0</v>
      </c>
      <c r="T263" s="451"/>
      <c r="U263" s="451"/>
      <c r="V263" s="451"/>
    </row>
    <row r="264" spans="1:22" s="441" customFormat="1" ht="49.5" customHeight="1">
      <c r="A264" s="570"/>
      <c r="B264" s="570"/>
      <c r="C264" s="589">
        <v>4700</v>
      </c>
      <c r="D264" s="450" t="s">
        <v>385</v>
      </c>
      <c r="E264" s="502">
        <f t="shared" si="60"/>
        <v>2000</v>
      </c>
      <c r="F264" s="445">
        <f t="shared" si="61"/>
        <v>2000</v>
      </c>
      <c r="G264" s="445">
        <f t="shared" si="62"/>
        <v>2000</v>
      </c>
      <c r="H264" s="451">
        <v>2000</v>
      </c>
      <c r="I264" s="445">
        <f t="shared" si="63"/>
        <v>0</v>
      </c>
      <c r="J264" s="451"/>
      <c r="K264" s="451"/>
      <c r="L264" s="451"/>
      <c r="M264" s="451"/>
      <c r="N264" s="451"/>
      <c r="O264" s="451"/>
      <c r="P264" s="451"/>
      <c r="Q264" s="451"/>
      <c r="R264" s="451"/>
      <c r="S264" s="445">
        <f t="shared" si="65"/>
        <v>0</v>
      </c>
      <c r="T264" s="451"/>
      <c r="U264" s="451"/>
      <c r="V264" s="451"/>
    </row>
    <row r="265" spans="1:22" s="441" customFormat="1" ht="60">
      <c r="A265" s="570"/>
      <c r="B265" s="570"/>
      <c r="C265" s="589">
        <v>4740</v>
      </c>
      <c r="D265" s="450" t="s">
        <v>199</v>
      </c>
      <c r="E265" s="502">
        <f t="shared" si="60"/>
        <v>1500</v>
      </c>
      <c r="F265" s="445">
        <f t="shared" si="61"/>
        <v>1500</v>
      </c>
      <c r="G265" s="445">
        <f t="shared" si="62"/>
        <v>1500</v>
      </c>
      <c r="H265" s="451">
        <v>1500</v>
      </c>
      <c r="I265" s="445">
        <f t="shared" si="63"/>
        <v>0</v>
      </c>
      <c r="J265" s="451"/>
      <c r="K265" s="451"/>
      <c r="L265" s="451"/>
      <c r="M265" s="451"/>
      <c r="N265" s="451"/>
      <c r="O265" s="451"/>
      <c r="P265" s="451"/>
      <c r="Q265" s="451"/>
      <c r="R265" s="451"/>
      <c r="S265" s="445">
        <f t="shared" si="65"/>
        <v>0</v>
      </c>
      <c r="T265" s="451"/>
      <c r="U265" s="451"/>
      <c r="V265" s="451"/>
    </row>
    <row r="266" spans="1:22" s="441" customFormat="1" ht="45">
      <c r="A266" s="570"/>
      <c r="B266" s="570"/>
      <c r="C266" s="589">
        <v>4750</v>
      </c>
      <c r="D266" s="450" t="s">
        <v>239</v>
      </c>
      <c r="E266" s="502">
        <f t="shared" si="60"/>
        <v>4000</v>
      </c>
      <c r="F266" s="445">
        <f t="shared" si="61"/>
        <v>4000</v>
      </c>
      <c r="G266" s="445">
        <f t="shared" si="62"/>
        <v>4000</v>
      </c>
      <c r="H266" s="451">
        <v>4000</v>
      </c>
      <c r="I266" s="445">
        <f t="shared" si="63"/>
        <v>0</v>
      </c>
      <c r="J266" s="451"/>
      <c r="K266" s="451"/>
      <c r="L266" s="451"/>
      <c r="M266" s="451"/>
      <c r="N266" s="451"/>
      <c r="O266" s="451"/>
      <c r="P266" s="451"/>
      <c r="Q266" s="451"/>
      <c r="R266" s="451"/>
      <c r="S266" s="445">
        <f t="shared" si="65"/>
        <v>0</v>
      </c>
      <c r="T266" s="451"/>
      <c r="U266" s="451"/>
      <c r="V266" s="451"/>
    </row>
    <row r="267" spans="1:22" s="449" customFormat="1" ht="90">
      <c r="A267" s="570"/>
      <c r="B267" s="571"/>
      <c r="C267" s="589">
        <v>6300</v>
      </c>
      <c r="D267" s="450" t="s">
        <v>660</v>
      </c>
      <c r="E267" s="502">
        <f t="shared" si="60"/>
        <v>0</v>
      </c>
      <c r="F267" s="445">
        <f t="shared" si="61"/>
        <v>0</v>
      </c>
      <c r="G267" s="445">
        <f t="shared" si="62"/>
        <v>0</v>
      </c>
      <c r="H267" s="448"/>
      <c r="I267" s="445">
        <f t="shared" si="63"/>
        <v>0</v>
      </c>
      <c r="J267" s="448"/>
      <c r="K267" s="448"/>
      <c r="L267" s="448"/>
      <c r="M267" s="448"/>
      <c r="N267" s="448"/>
      <c r="O267" s="448"/>
      <c r="P267" s="448"/>
      <c r="Q267" s="448"/>
      <c r="R267" s="448"/>
      <c r="S267" s="445">
        <f t="shared" si="65"/>
        <v>0</v>
      </c>
      <c r="T267" s="448">
        <v>0</v>
      </c>
      <c r="U267" s="448"/>
      <c r="V267" s="448"/>
    </row>
    <row r="268" spans="1:22" s="449" customFormat="1" ht="31.5">
      <c r="A268" s="570"/>
      <c r="B268" s="571">
        <v>80120</v>
      </c>
      <c r="C268" s="588"/>
      <c r="D268" s="262" t="s">
        <v>240</v>
      </c>
      <c r="E268" s="502">
        <f t="shared" si="60"/>
        <v>2049603</v>
      </c>
      <c r="F268" s="445">
        <f t="shared" si="61"/>
        <v>2049603</v>
      </c>
      <c r="G268" s="445">
        <f t="shared" si="62"/>
        <v>1986091</v>
      </c>
      <c r="H268" s="448">
        <f>SUM(H269:H279)</f>
        <v>128209</v>
      </c>
      <c r="I268" s="445">
        <f t="shared" si="63"/>
        <v>1857882</v>
      </c>
      <c r="J268" s="448">
        <f>SUM(J269:J279)</f>
        <v>1457091</v>
      </c>
      <c r="K268" s="448">
        <f aca="true" t="shared" si="68" ref="K268:R268">SUM(K269:K279)</f>
        <v>121879</v>
      </c>
      <c r="L268" s="448">
        <f t="shared" si="68"/>
        <v>278912</v>
      </c>
      <c r="M268" s="448">
        <f t="shared" si="68"/>
        <v>0</v>
      </c>
      <c r="N268" s="448">
        <f t="shared" si="68"/>
        <v>63512</v>
      </c>
      <c r="O268" s="448">
        <f t="shared" si="68"/>
        <v>0</v>
      </c>
      <c r="P268" s="448">
        <f>SUM(P269:P279)</f>
        <v>0</v>
      </c>
      <c r="Q268" s="448">
        <f t="shared" si="68"/>
        <v>0</v>
      </c>
      <c r="R268" s="448">
        <f t="shared" si="68"/>
        <v>0</v>
      </c>
      <c r="S268" s="445">
        <f t="shared" si="65"/>
        <v>0</v>
      </c>
      <c r="T268" s="448">
        <f>SUM(T269:T279)</f>
        <v>0</v>
      </c>
      <c r="U268" s="448">
        <f>SUM(U269:U279)</f>
        <v>0</v>
      </c>
      <c r="V268" s="448">
        <f>SUM(V269:V279)</f>
        <v>0</v>
      </c>
    </row>
    <row r="269" spans="1:22" s="441" customFormat="1" ht="105" customHeight="1">
      <c r="A269" s="570"/>
      <c r="B269" s="570"/>
      <c r="C269" s="589">
        <v>2540</v>
      </c>
      <c r="D269" s="450" t="s">
        <v>241</v>
      </c>
      <c r="E269" s="502">
        <f t="shared" si="60"/>
        <v>0</v>
      </c>
      <c r="F269" s="445">
        <f t="shared" si="61"/>
        <v>0</v>
      </c>
      <c r="G269" s="445">
        <f t="shared" si="62"/>
        <v>0</v>
      </c>
      <c r="H269" s="451"/>
      <c r="I269" s="445">
        <f t="shared" si="63"/>
        <v>0</v>
      </c>
      <c r="J269" s="451"/>
      <c r="K269" s="451"/>
      <c r="L269" s="451"/>
      <c r="M269" s="451"/>
      <c r="N269" s="451"/>
      <c r="O269" s="451"/>
      <c r="P269" s="451"/>
      <c r="Q269" s="451"/>
      <c r="R269" s="451"/>
      <c r="S269" s="445">
        <f t="shared" si="65"/>
        <v>0</v>
      </c>
      <c r="T269" s="451"/>
      <c r="U269" s="451"/>
      <c r="V269" s="451"/>
    </row>
    <row r="270" spans="1:22" s="441" customFormat="1" ht="45">
      <c r="A270" s="570"/>
      <c r="B270" s="570"/>
      <c r="C270" s="589">
        <v>3020</v>
      </c>
      <c r="D270" s="450" t="s">
        <v>386</v>
      </c>
      <c r="E270" s="502">
        <f t="shared" si="60"/>
        <v>63512</v>
      </c>
      <c r="F270" s="445">
        <f t="shared" si="61"/>
        <v>63512</v>
      </c>
      <c r="G270" s="445">
        <f t="shared" si="62"/>
        <v>0</v>
      </c>
      <c r="H270" s="451"/>
      <c r="I270" s="445">
        <f t="shared" si="63"/>
        <v>0</v>
      </c>
      <c r="J270" s="451"/>
      <c r="K270" s="451"/>
      <c r="L270" s="451"/>
      <c r="M270" s="451"/>
      <c r="N270" s="451">
        <v>63512</v>
      </c>
      <c r="O270" s="451"/>
      <c r="P270" s="451"/>
      <c r="Q270" s="451"/>
      <c r="R270" s="451"/>
      <c r="S270" s="445">
        <f t="shared" si="65"/>
        <v>0</v>
      </c>
      <c r="T270" s="451"/>
      <c r="U270" s="451"/>
      <c r="V270" s="451"/>
    </row>
    <row r="271" spans="1:22" s="441" customFormat="1" ht="57.75" customHeight="1">
      <c r="A271" s="570"/>
      <c r="B271" s="570"/>
      <c r="C271" s="589">
        <v>4010</v>
      </c>
      <c r="D271" s="450" t="s">
        <v>102</v>
      </c>
      <c r="E271" s="502">
        <f t="shared" si="60"/>
        <v>1457091</v>
      </c>
      <c r="F271" s="445">
        <f t="shared" si="61"/>
        <v>1457091</v>
      </c>
      <c r="G271" s="445">
        <f t="shared" si="62"/>
        <v>1457091</v>
      </c>
      <c r="H271" s="451"/>
      <c r="I271" s="445">
        <f t="shared" si="63"/>
        <v>1457091</v>
      </c>
      <c r="J271" s="451">
        <v>1457091</v>
      </c>
      <c r="K271" s="451"/>
      <c r="L271" s="451"/>
      <c r="M271" s="451"/>
      <c r="N271" s="451"/>
      <c r="O271" s="451"/>
      <c r="P271" s="451"/>
      <c r="Q271" s="451"/>
      <c r="R271" s="451"/>
      <c r="S271" s="445">
        <f t="shared" si="65"/>
        <v>0</v>
      </c>
      <c r="T271" s="451"/>
      <c r="U271" s="451"/>
      <c r="V271" s="451"/>
    </row>
    <row r="272" spans="1:22" s="441" customFormat="1" ht="44.25" customHeight="1">
      <c r="A272" s="570"/>
      <c r="B272" s="570"/>
      <c r="C272" s="589">
        <v>4040</v>
      </c>
      <c r="D272" s="450" t="s">
        <v>103</v>
      </c>
      <c r="E272" s="502">
        <f t="shared" si="60"/>
        <v>121879</v>
      </c>
      <c r="F272" s="445">
        <f t="shared" si="61"/>
        <v>121879</v>
      </c>
      <c r="G272" s="445">
        <f t="shared" si="62"/>
        <v>121879</v>
      </c>
      <c r="H272" s="451"/>
      <c r="I272" s="445">
        <f t="shared" si="63"/>
        <v>121879</v>
      </c>
      <c r="J272" s="451"/>
      <c r="K272" s="451">
        <v>121879</v>
      </c>
      <c r="L272" s="451"/>
      <c r="M272" s="451"/>
      <c r="N272" s="451"/>
      <c r="O272" s="451"/>
      <c r="P272" s="451"/>
      <c r="Q272" s="451"/>
      <c r="R272" s="451"/>
      <c r="S272" s="445">
        <f t="shared" si="65"/>
        <v>0</v>
      </c>
      <c r="T272" s="451"/>
      <c r="U272" s="451"/>
      <c r="V272" s="451"/>
    </row>
    <row r="273" spans="1:22" s="441" customFormat="1" ht="45">
      <c r="A273" s="570"/>
      <c r="B273" s="570"/>
      <c r="C273" s="589">
        <v>4110</v>
      </c>
      <c r="D273" s="450" t="s">
        <v>234</v>
      </c>
      <c r="E273" s="502">
        <f t="shared" si="60"/>
        <v>243326</v>
      </c>
      <c r="F273" s="445">
        <f t="shared" si="61"/>
        <v>243326</v>
      </c>
      <c r="G273" s="445">
        <f t="shared" si="62"/>
        <v>243326</v>
      </c>
      <c r="H273" s="451"/>
      <c r="I273" s="445">
        <f t="shared" si="63"/>
        <v>243326</v>
      </c>
      <c r="J273" s="451"/>
      <c r="K273" s="451"/>
      <c r="L273" s="451">
        <v>243326</v>
      </c>
      <c r="M273" s="451"/>
      <c r="N273" s="451"/>
      <c r="O273" s="451"/>
      <c r="P273" s="451"/>
      <c r="Q273" s="451"/>
      <c r="R273" s="451"/>
      <c r="S273" s="445">
        <f t="shared" si="65"/>
        <v>0</v>
      </c>
      <c r="T273" s="451"/>
      <c r="U273" s="451"/>
      <c r="V273" s="451"/>
    </row>
    <row r="274" spans="1:22" s="441" customFormat="1" ht="30">
      <c r="A274" s="570"/>
      <c r="B274" s="570"/>
      <c r="C274" s="589">
        <v>4120</v>
      </c>
      <c r="D274" s="450" t="s">
        <v>105</v>
      </c>
      <c r="E274" s="502">
        <f t="shared" si="60"/>
        <v>35586</v>
      </c>
      <c r="F274" s="445">
        <f t="shared" si="61"/>
        <v>35586</v>
      </c>
      <c r="G274" s="445">
        <f t="shared" si="62"/>
        <v>35586</v>
      </c>
      <c r="H274" s="451"/>
      <c r="I274" s="445">
        <f t="shared" si="63"/>
        <v>35586</v>
      </c>
      <c r="J274" s="451"/>
      <c r="K274" s="451"/>
      <c r="L274" s="451">
        <v>35586</v>
      </c>
      <c r="M274" s="451"/>
      <c r="N274" s="451"/>
      <c r="O274" s="451"/>
      <c r="P274" s="451"/>
      <c r="Q274" s="451"/>
      <c r="R274" s="451"/>
      <c r="S274" s="445">
        <f t="shared" si="65"/>
        <v>0</v>
      </c>
      <c r="T274" s="451"/>
      <c r="U274" s="451"/>
      <c r="V274" s="451"/>
    </row>
    <row r="275" spans="1:22" s="441" customFormat="1" ht="30">
      <c r="A275" s="570"/>
      <c r="B275" s="570"/>
      <c r="C275" s="589">
        <v>4210</v>
      </c>
      <c r="D275" s="450" t="s">
        <v>107</v>
      </c>
      <c r="E275" s="502">
        <f t="shared" si="60"/>
        <v>10300</v>
      </c>
      <c r="F275" s="445">
        <f t="shared" si="61"/>
        <v>10300</v>
      </c>
      <c r="G275" s="445">
        <f t="shared" si="62"/>
        <v>10300</v>
      </c>
      <c r="H275" s="451">
        <v>10300</v>
      </c>
      <c r="I275" s="445">
        <f t="shared" si="63"/>
        <v>0</v>
      </c>
      <c r="J275" s="451"/>
      <c r="K275" s="451"/>
      <c r="L275" s="451"/>
      <c r="M275" s="451"/>
      <c r="N275" s="451"/>
      <c r="O275" s="451"/>
      <c r="P275" s="451"/>
      <c r="Q275" s="451"/>
      <c r="R275" s="451"/>
      <c r="S275" s="445">
        <f t="shared" si="65"/>
        <v>0</v>
      </c>
      <c r="T275" s="451"/>
      <c r="U275" s="451"/>
      <c r="V275" s="451"/>
    </row>
    <row r="276" spans="1:22" s="441" customFormat="1" ht="45" customHeight="1" hidden="1">
      <c r="A276" s="570"/>
      <c r="B276" s="570"/>
      <c r="C276" s="589">
        <v>4240</v>
      </c>
      <c r="D276" s="450" t="s">
        <v>237</v>
      </c>
      <c r="E276" s="502">
        <f t="shared" si="60"/>
        <v>0</v>
      </c>
      <c r="F276" s="445">
        <f t="shared" si="61"/>
        <v>0</v>
      </c>
      <c r="G276" s="445">
        <f t="shared" si="62"/>
        <v>0</v>
      </c>
      <c r="H276" s="451">
        <v>0</v>
      </c>
      <c r="I276" s="445">
        <f t="shared" si="63"/>
        <v>0</v>
      </c>
      <c r="J276" s="451"/>
      <c r="K276" s="451"/>
      <c r="L276" s="451"/>
      <c r="M276" s="451"/>
      <c r="N276" s="451"/>
      <c r="O276" s="451"/>
      <c r="P276" s="451"/>
      <c r="Q276" s="451"/>
      <c r="R276" s="451"/>
      <c r="S276" s="445">
        <f t="shared" si="65"/>
        <v>0</v>
      </c>
      <c r="T276" s="451"/>
      <c r="U276" s="451"/>
      <c r="V276" s="451"/>
    </row>
    <row r="277" spans="1:22" s="441" customFormat="1" ht="15.75">
      <c r="A277" s="570"/>
      <c r="B277" s="570"/>
      <c r="C277" s="589">
        <v>4260</v>
      </c>
      <c r="D277" s="450" t="s">
        <v>108</v>
      </c>
      <c r="E277" s="502">
        <f t="shared" si="60"/>
        <v>5720</v>
      </c>
      <c r="F277" s="445">
        <f t="shared" si="61"/>
        <v>5720</v>
      </c>
      <c r="G277" s="445">
        <f t="shared" si="62"/>
        <v>5720</v>
      </c>
      <c r="H277" s="451">
        <v>5720</v>
      </c>
      <c r="I277" s="445">
        <f t="shared" si="63"/>
        <v>0</v>
      </c>
      <c r="J277" s="451"/>
      <c r="K277" s="451"/>
      <c r="L277" s="451"/>
      <c r="M277" s="451"/>
      <c r="N277" s="451"/>
      <c r="O277" s="451"/>
      <c r="P277" s="451"/>
      <c r="Q277" s="451"/>
      <c r="R277" s="451"/>
      <c r="S277" s="445">
        <f t="shared" si="65"/>
        <v>0</v>
      </c>
      <c r="T277" s="451"/>
      <c r="U277" s="451"/>
      <c r="V277" s="451"/>
    </row>
    <row r="278" spans="1:22" s="441" customFormat="1" ht="30">
      <c r="A278" s="570"/>
      <c r="B278" s="570"/>
      <c r="C278" s="589">
        <v>4300</v>
      </c>
      <c r="D278" s="450" t="s">
        <v>90</v>
      </c>
      <c r="E278" s="502">
        <f t="shared" si="60"/>
        <v>21600</v>
      </c>
      <c r="F278" s="445">
        <f t="shared" si="61"/>
        <v>21600</v>
      </c>
      <c r="G278" s="445">
        <f t="shared" si="62"/>
        <v>21600</v>
      </c>
      <c r="H278" s="451">
        <v>21600</v>
      </c>
      <c r="I278" s="445">
        <f t="shared" si="63"/>
        <v>0</v>
      </c>
      <c r="J278" s="451"/>
      <c r="K278" s="451"/>
      <c r="L278" s="451"/>
      <c r="M278" s="451"/>
      <c r="N278" s="451"/>
      <c r="O278" s="451"/>
      <c r="P278" s="451"/>
      <c r="Q278" s="451"/>
      <c r="R278" s="451"/>
      <c r="S278" s="445">
        <f t="shared" si="65"/>
        <v>0</v>
      </c>
      <c r="T278" s="451"/>
      <c r="U278" s="451"/>
      <c r="V278" s="451"/>
    </row>
    <row r="279" spans="1:22" s="441" customFormat="1" ht="44.25" customHeight="1">
      <c r="A279" s="570"/>
      <c r="B279" s="570"/>
      <c r="C279" s="589">
        <v>4440</v>
      </c>
      <c r="D279" s="450" t="s">
        <v>117</v>
      </c>
      <c r="E279" s="502">
        <f t="shared" si="60"/>
        <v>90589</v>
      </c>
      <c r="F279" s="445">
        <f t="shared" si="61"/>
        <v>90589</v>
      </c>
      <c r="G279" s="445">
        <f t="shared" si="62"/>
        <v>90589</v>
      </c>
      <c r="H279" s="451">
        <v>90589</v>
      </c>
      <c r="I279" s="445">
        <f t="shared" si="63"/>
        <v>0</v>
      </c>
      <c r="J279" s="451"/>
      <c r="K279" s="451"/>
      <c r="L279" s="451"/>
      <c r="M279" s="451"/>
      <c r="N279" s="451"/>
      <c r="O279" s="451"/>
      <c r="P279" s="451"/>
      <c r="Q279" s="451"/>
      <c r="R279" s="451"/>
      <c r="S279" s="445">
        <f t="shared" si="65"/>
        <v>0</v>
      </c>
      <c r="T279" s="451"/>
      <c r="U279" s="451"/>
      <c r="V279" s="451"/>
    </row>
    <row r="280" spans="1:22" s="449" customFormat="1" ht="15.75">
      <c r="A280" s="579"/>
      <c r="B280" s="571">
        <v>80130</v>
      </c>
      <c r="C280" s="588"/>
      <c r="D280" s="262" t="s">
        <v>242</v>
      </c>
      <c r="E280" s="502">
        <f t="shared" si="60"/>
        <v>7178415</v>
      </c>
      <c r="F280" s="445">
        <f t="shared" si="61"/>
        <v>7141215</v>
      </c>
      <c r="G280" s="445">
        <f t="shared" si="62"/>
        <v>6842398</v>
      </c>
      <c r="H280" s="448">
        <f>SUM(H281:H312)</f>
        <v>1425042</v>
      </c>
      <c r="I280" s="445">
        <f t="shared" si="63"/>
        <v>5417356</v>
      </c>
      <c r="J280" s="448">
        <f aca="true" t="shared" si="69" ref="J280:R280">SUM(J281:J312)</f>
        <v>4185998</v>
      </c>
      <c r="K280" s="448">
        <f t="shared" si="69"/>
        <v>310820</v>
      </c>
      <c r="L280" s="448">
        <f t="shared" si="69"/>
        <v>818808</v>
      </c>
      <c r="M280" s="448">
        <f t="shared" si="69"/>
        <v>101730</v>
      </c>
      <c r="N280" s="448">
        <f t="shared" si="69"/>
        <v>258817</v>
      </c>
      <c r="O280" s="448">
        <f t="shared" si="69"/>
        <v>40000</v>
      </c>
      <c r="P280" s="448">
        <f>SUM(P281:P312)</f>
        <v>0</v>
      </c>
      <c r="Q280" s="448">
        <f t="shared" si="69"/>
        <v>0</v>
      </c>
      <c r="R280" s="448">
        <f t="shared" si="69"/>
        <v>0</v>
      </c>
      <c r="S280" s="445">
        <f t="shared" si="65"/>
        <v>37200</v>
      </c>
      <c r="T280" s="448">
        <f>SUM(T281:T312)</f>
        <v>37200</v>
      </c>
      <c r="U280" s="448">
        <f>SUM(U281:U312)</f>
        <v>11200</v>
      </c>
      <c r="V280" s="448">
        <f>SUM(V281:V312)</f>
        <v>0</v>
      </c>
    </row>
    <row r="281" spans="1:22" s="441" customFormat="1" ht="161.25" customHeight="1">
      <c r="A281" s="580"/>
      <c r="B281" s="570"/>
      <c r="C281" s="589">
        <v>2330</v>
      </c>
      <c r="D281" s="450" t="s">
        <v>113</v>
      </c>
      <c r="E281" s="502">
        <f t="shared" si="60"/>
        <v>30000</v>
      </c>
      <c r="F281" s="445">
        <f t="shared" si="61"/>
        <v>30000</v>
      </c>
      <c r="G281" s="445">
        <f t="shared" si="62"/>
        <v>0</v>
      </c>
      <c r="H281" s="451"/>
      <c r="I281" s="445">
        <f t="shared" si="63"/>
        <v>0</v>
      </c>
      <c r="J281" s="451"/>
      <c r="K281" s="451"/>
      <c r="L281" s="451"/>
      <c r="M281" s="451"/>
      <c r="N281" s="451"/>
      <c r="O281" s="451">
        <v>30000</v>
      </c>
      <c r="P281" s="451"/>
      <c r="Q281" s="451"/>
      <c r="R281" s="451"/>
      <c r="S281" s="445">
        <f t="shared" si="65"/>
        <v>0</v>
      </c>
      <c r="T281" s="451"/>
      <c r="U281" s="451"/>
      <c r="V281" s="451"/>
    </row>
    <row r="282" spans="1:22" s="441" customFormat="1" ht="132.75" customHeight="1">
      <c r="A282" s="580"/>
      <c r="B282" s="570"/>
      <c r="C282" s="594">
        <v>2320</v>
      </c>
      <c r="D282" s="458" t="s">
        <v>493</v>
      </c>
      <c r="E282" s="502">
        <f t="shared" si="60"/>
        <v>10000</v>
      </c>
      <c r="F282" s="445">
        <f t="shared" si="61"/>
        <v>10000</v>
      </c>
      <c r="G282" s="445">
        <f t="shared" si="62"/>
        <v>0</v>
      </c>
      <c r="H282" s="451"/>
      <c r="I282" s="445">
        <f t="shared" si="63"/>
        <v>0</v>
      </c>
      <c r="J282" s="451"/>
      <c r="K282" s="451"/>
      <c r="L282" s="451"/>
      <c r="M282" s="451"/>
      <c r="N282" s="451"/>
      <c r="O282" s="451">
        <v>10000</v>
      </c>
      <c r="P282" s="451"/>
      <c r="Q282" s="451"/>
      <c r="R282" s="451"/>
      <c r="S282" s="445">
        <f t="shared" si="65"/>
        <v>0</v>
      </c>
      <c r="T282" s="451"/>
      <c r="U282" s="451"/>
      <c r="V282" s="451"/>
    </row>
    <row r="283" spans="1:22" s="441" customFormat="1" ht="45">
      <c r="A283" s="580"/>
      <c r="B283" s="570"/>
      <c r="C283" s="589">
        <v>3020</v>
      </c>
      <c r="D283" s="450" t="s">
        <v>386</v>
      </c>
      <c r="E283" s="502">
        <f t="shared" si="60"/>
        <v>258817</v>
      </c>
      <c r="F283" s="445">
        <f t="shared" si="61"/>
        <v>258817</v>
      </c>
      <c r="G283" s="445">
        <f t="shared" si="62"/>
        <v>0</v>
      </c>
      <c r="H283" s="451"/>
      <c r="I283" s="445">
        <f t="shared" si="63"/>
        <v>0</v>
      </c>
      <c r="J283" s="451"/>
      <c r="K283" s="451"/>
      <c r="L283" s="451"/>
      <c r="M283" s="451"/>
      <c r="N283" s="451">
        <v>258817</v>
      </c>
      <c r="O283" s="451"/>
      <c r="P283" s="451"/>
      <c r="Q283" s="451"/>
      <c r="R283" s="451"/>
      <c r="S283" s="445">
        <f t="shared" si="65"/>
        <v>0</v>
      </c>
      <c r="T283" s="451"/>
      <c r="U283" s="451"/>
      <c r="V283" s="451"/>
    </row>
    <row r="284" spans="1:22" s="441" customFormat="1" ht="30">
      <c r="A284" s="580"/>
      <c r="B284" s="570"/>
      <c r="C284" s="589">
        <v>4010</v>
      </c>
      <c r="D284" s="450" t="s">
        <v>102</v>
      </c>
      <c r="E284" s="502">
        <f t="shared" si="60"/>
        <v>4185998</v>
      </c>
      <c r="F284" s="445">
        <f t="shared" si="61"/>
        <v>4185998</v>
      </c>
      <c r="G284" s="445">
        <f t="shared" si="62"/>
        <v>4185998</v>
      </c>
      <c r="H284" s="451"/>
      <c r="I284" s="445">
        <f t="shared" si="63"/>
        <v>4185998</v>
      </c>
      <c r="J284" s="451">
        <v>4185998</v>
      </c>
      <c r="K284" s="451"/>
      <c r="L284" s="451"/>
      <c r="M284" s="451"/>
      <c r="N284" s="451"/>
      <c r="O284" s="451"/>
      <c r="P284" s="451"/>
      <c r="Q284" s="451"/>
      <c r="R284" s="451"/>
      <c r="S284" s="445">
        <f t="shared" si="65"/>
        <v>0</v>
      </c>
      <c r="T284" s="451"/>
      <c r="U284" s="451"/>
      <c r="V284" s="451"/>
    </row>
    <row r="285" spans="1:22" s="441" customFormat="1" ht="30">
      <c r="A285" s="580"/>
      <c r="B285" s="570"/>
      <c r="C285" s="589">
        <v>4040</v>
      </c>
      <c r="D285" s="450" t="s">
        <v>103</v>
      </c>
      <c r="E285" s="502">
        <f t="shared" si="60"/>
        <v>310820</v>
      </c>
      <c r="F285" s="445">
        <f t="shared" si="61"/>
        <v>310820</v>
      </c>
      <c r="G285" s="445">
        <f t="shared" si="62"/>
        <v>310820</v>
      </c>
      <c r="H285" s="451"/>
      <c r="I285" s="445">
        <f t="shared" si="63"/>
        <v>310820</v>
      </c>
      <c r="J285" s="451"/>
      <c r="K285" s="451">
        <v>310820</v>
      </c>
      <c r="L285" s="451"/>
      <c r="M285" s="451"/>
      <c r="N285" s="451"/>
      <c r="O285" s="451"/>
      <c r="P285" s="451"/>
      <c r="Q285" s="451"/>
      <c r="R285" s="451"/>
      <c r="S285" s="445">
        <f t="shared" si="65"/>
        <v>0</v>
      </c>
      <c r="T285" s="451"/>
      <c r="U285" s="451"/>
      <c r="V285" s="451"/>
    </row>
    <row r="286" spans="1:22" s="441" customFormat="1" ht="63.75" customHeight="1">
      <c r="A286" s="580"/>
      <c r="B286" s="570"/>
      <c r="C286" s="589">
        <v>4110</v>
      </c>
      <c r="D286" s="450" t="s">
        <v>234</v>
      </c>
      <c r="E286" s="502">
        <f t="shared" si="60"/>
        <v>708419</v>
      </c>
      <c r="F286" s="445">
        <f t="shared" si="61"/>
        <v>708419</v>
      </c>
      <c r="G286" s="445">
        <f t="shared" si="62"/>
        <v>708419</v>
      </c>
      <c r="H286" s="451"/>
      <c r="I286" s="445">
        <f t="shared" si="63"/>
        <v>708419</v>
      </c>
      <c r="J286" s="451"/>
      <c r="K286" s="451"/>
      <c r="L286" s="451">
        <v>708419</v>
      </c>
      <c r="M286" s="451"/>
      <c r="N286" s="451"/>
      <c r="O286" s="451"/>
      <c r="P286" s="451"/>
      <c r="Q286" s="451"/>
      <c r="R286" s="451"/>
      <c r="S286" s="445">
        <f t="shared" si="65"/>
        <v>0</v>
      </c>
      <c r="T286" s="451"/>
      <c r="U286" s="451"/>
      <c r="V286" s="451"/>
    </row>
    <row r="287" spans="1:22" s="441" customFormat="1" ht="30">
      <c r="A287" s="580"/>
      <c r="B287" s="570"/>
      <c r="C287" s="589">
        <v>4120</v>
      </c>
      <c r="D287" s="450" t="s">
        <v>105</v>
      </c>
      <c r="E287" s="502">
        <f t="shared" si="60"/>
        <v>110389</v>
      </c>
      <c r="F287" s="445">
        <f t="shared" si="61"/>
        <v>110389</v>
      </c>
      <c r="G287" s="445">
        <f t="shared" si="62"/>
        <v>110389</v>
      </c>
      <c r="H287" s="451"/>
      <c r="I287" s="445">
        <f t="shared" si="63"/>
        <v>110389</v>
      </c>
      <c r="J287" s="451"/>
      <c r="K287" s="451"/>
      <c r="L287" s="451">
        <v>110389</v>
      </c>
      <c r="M287" s="451"/>
      <c r="N287" s="451"/>
      <c r="O287" s="451"/>
      <c r="P287" s="451"/>
      <c r="Q287" s="451"/>
      <c r="R287" s="451"/>
      <c r="S287" s="445">
        <f t="shared" si="65"/>
        <v>0</v>
      </c>
      <c r="T287" s="451"/>
      <c r="U287" s="451"/>
      <c r="V287" s="451"/>
    </row>
    <row r="288" spans="1:22" s="441" customFormat="1" ht="15.75">
      <c r="A288" s="580"/>
      <c r="B288" s="570"/>
      <c r="C288" s="589">
        <v>4140</v>
      </c>
      <c r="D288" s="450" t="s">
        <v>243</v>
      </c>
      <c r="E288" s="502">
        <f t="shared" si="60"/>
        <v>2000</v>
      </c>
      <c r="F288" s="445">
        <f t="shared" si="61"/>
        <v>2000</v>
      </c>
      <c r="G288" s="445">
        <f t="shared" si="62"/>
        <v>2000</v>
      </c>
      <c r="H288" s="451">
        <v>2000</v>
      </c>
      <c r="I288" s="445">
        <f t="shared" si="63"/>
        <v>0</v>
      </c>
      <c r="J288" s="451"/>
      <c r="K288" s="451"/>
      <c r="L288" s="451"/>
      <c r="M288" s="451"/>
      <c r="N288" s="451"/>
      <c r="O288" s="451"/>
      <c r="P288" s="451"/>
      <c r="Q288" s="451"/>
      <c r="R288" s="451"/>
      <c r="S288" s="445">
        <f t="shared" si="65"/>
        <v>0</v>
      </c>
      <c r="T288" s="451"/>
      <c r="U288" s="451"/>
      <c r="V288" s="451"/>
    </row>
    <row r="289" spans="1:22" s="441" customFormat="1" ht="39.75" customHeight="1">
      <c r="A289" s="580"/>
      <c r="B289" s="570"/>
      <c r="C289" s="589">
        <v>4170</v>
      </c>
      <c r="D289" s="450" t="s">
        <v>196</v>
      </c>
      <c r="E289" s="502">
        <f t="shared" si="60"/>
        <v>101730</v>
      </c>
      <c r="F289" s="445">
        <f t="shared" si="61"/>
        <v>101730</v>
      </c>
      <c r="G289" s="445">
        <f t="shared" si="62"/>
        <v>101730</v>
      </c>
      <c r="H289" s="451"/>
      <c r="I289" s="445">
        <f t="shared" si="63"/>
        <v>101730</v>
      </c>
      <c r="J289" s="451"/>
      <c r="K289" s="451"/>
      <c r="L289" s="451"/>
      <c r="M289" s="451">
        <v>101730</v>
      </c>
      <c r="N289" s="451"/>
      <c r="O289" s="451"/>
      <c r="P289" s="451"/>
      <c r="Q289" s="451"/>
      <c r="R289" s="451"/>
      <c r="S289" s="445">
        <f t="shared" si="65"/>
        <v>0</v>
      </c>
      <c r="T289" s="451"/>
      <c r="U289" s="451"/>
      <c r="V289" s="451"/>
    </row>
    <row r="290" spans="1:22" s="441" customFormat="1" ht="30">
      <c r="A290" s="580"/>
      <c r="B290" s="570"/>
      <c r="C290" s="589">
        <v>4210</v>
      </c>
      <c r="D290" s="450" t="s">
        <v>107</v>
      </c>
      <c r="E290" s="502">
        <f t="shared" si="60"/>
        <v>381500</v>
      </c>
      <c r="F290" s="445">
        <f t="shared" si="61"/>
        <v>381500</v>
      </c>
      <c r="G290" s="445">
        <f t="shared" si="62"/>
        <v>381500</v>
      </c>
      <c r="H290" s="451">
        <v>381500</v>
      </c>
      <c r="I290" s="445">
        <f t="shared" si="63"/>
        <v>0</v>
      </c>
      <c r="J290" s="451"/>
      <c r="K290" s="451"/>
      <c r="L290" s="451"/>
      <c r="M290" s="451"/>
      <c r="N290" s="451"/>
      <c r="O290" s="451"/>
      <c r="P290" s="451"/>
      <c r="Q290" s="451"/>
      <c r="R290" s="451"/>
      <c r="S290" s="445">
        <f t="shared" si="65"/>
        <v>0</v>
      </c>
      <c r="T290" s="451"/>
      <c r="U290" s="451"/>
      <c r="V290" s="451"/>
    </row>
    <row r="291" spans="1:22" s="441" customFormat="1" ht="45" customHeight="1" hidden="1">
      <c r="A291" s="580"/>
      <c r="B291" s="570"/>
      <c r="C291" s="589">
        <v>4240</v>
      </c>
      <c r="D291" s="450" t="s">
        <v>244</v>
      </c>
      <c r="E291" s="502">
        <f t="shared" si="60"/>
        <v>0</v>
      </c>
      <c r="F291" s="445">
        <f t="shared" si="61"/>
        <v>0</v>
      </c>
      <c r="G291" s="445">
        <f t="shared" si="62"/>
        <v>0</v>
      </c>
      <c r="H291" s="451"/>
      <c r="I291" s="445">
        <f t="shared" si="63"/>
        <v>0</v>
      </c>
      <c r="J291" s="451"/>
      <c r="K291" s="451"/>
      <c r="L291" s="451"/>
      <c r="M291" s="451"/>
      <c r="N291" s="451"/>
      <c r="O291" s="451"/>
      <c r="P291" s="451"/>
      <c r="Q291" s="451"/>
      <c r="R291" s="451"/>
      <c r="S291" s="445">
        <f t="shared" si="65"/>
        <v>0</v>
      </c>
      <c r="T291" s="451"/>
      <c r="U291" s="451"/>
      <c r="V291" s="451"/>
    </row>
    <row r="292" spans="1:22" s="441" customFormat="1" ht="15.75">
      <c r="A292" s="580"/>
      <c r="B292" s="570"/>
      <c r="C292" s="589">
        <v>4260</v>
      </c>
      <c r="D292" s="450" t="s">
        <v>108</v>
      </c>
      <c r="E292" s="502">
        <f t="shared" si="60"/>
        <v>235550</v>
      </c>
      <c r="F292" s="445">
        <f t="shared" si="61"/>
        <v>235550</v>
      </c>
      <c r="G292" s="445">
        <f t="shared" si="62"/>
        <v>235550</v>
      </c>
      <c r="H292" s="451">
        <v>235550</v>
      </c>
      <c r="I292" s="445">
        <f t="shared" si="63"/>
        <v>0</v>
      </c>
      <c r="J292" s="451"/>
      <c r="K292" s="451"/>
      <c r="L292" s="451"/>
      <c r="M292" s="451"/>
      <c r="N292" s="451"/>
      <c r="O292" s="451"/>
      <c r="P292" s="451"/>
      <c r="Q292" s="451"/>
      <c r="R292" s="451"/>
      <c r="S292" s="445">
        <f t="shared" si="65"/>
        <v>0</v>
      </c>
      <c r="T292" s="451"/>
      <c r="U292" s="451"/>
      <c r="V292" s="451"/>
    </row>
    <row r="293" spans="1:22" s="441" customFormat="1" ht="30">
      <c r="A293" s="580"/>
      <c r="B293" s="570"/>
      <c r="C293" s="589">
        <v>4270</v>
      </c>
      <c r="D293" s="450" t="s">
        <v>109</v>
      </c>
      <c r="E293" s="502">
        <f t="shared" si="60"/>
        <v>238910</v>
      </c>
      <c r="F293" s="445">
        <f t="shared" si="61"/>
        <v>238910</v>
      </c>
      <c r="G293" s="445">
        <f t="shared" si="62"/>
        <v>238910</v>
      </c>
      <c r="H293" s="451">
        <v>238910</v>
      </c>
      <c r="I293" s="445">
        <f t="shared" si="63"/>
        <v>0</v>
      </c>
      <c r="J293" s="451"/>
      <c r="K293" s="451"/>
      <c r="L293" s="451"/>
      <c r="M293" s="451"/>
      <c r="N293" s="451"/>
      <c r="O293" s="451"/>
      <c r="P293" s="451"/>
      <c r="Q293" s="451"/>
      <c r="R293" s="451"/>
      <c r="S293" s="445">
        <f t="shared" si="65"/>
        <v>0</v>
      </c>
      <c r="T293" s="451"/>
      <c r="U293" s="451"/>
      <c r="V293" s="451"/>
    </row>
    <row r="294" spans="1:22" s="441" customFormat="1" ht="30" customHeight="1">
      <c r="A294" s="580"/>
      <c r="B294" s="570"/>
      <c r="C294" s="589">
        <v>4280</v>
      </c>
      <c r="D294" s="450" t="s">
        <v>110</v>
      </c>
      <c r="E294" s="502">
        <f t="shared" si="60"/>
        <v>8050</v>
      </c>
      <c r="F294" s="445">
        <f t="shared" si="61"/>
        <v>8050</v>
      </c>
      <c r="G294" s="445">
        <f t="shared" si="62"/>
        <v>8050</v>
      </c>
      <c r="H294" s="451">
        <v>8050</v>
      </c>
      <c r="I294" s="445">
        <f t="shared" si="63"/>
        <v>0</v>
      </c>
      <c r="J294" s="451"/>
      <c r="K294" s="451"/>
      <c r="L294" s="451"/>
      <c r="M294" s="451"/>
      <c r="N294" s="451"/>
      <c r="O294" s="451"/>
      <c r="P294" s="451"/>
      <c r="Q294" s="451"/>
      <c r="R294" s="451"/>
      <c r="S294" s="445">
        <f t="shared" si="65"/>
        <v>0</v>
      </c>
      <c r="T294" s="451"/>
      <c r="U294" s="451"/>
      <c r="V294" s="451"/>
    </row>
    <row r="295" spans="1:22" s="441" customFormat="1" ht="40.5" customHeight="1">
      <c r="A295" s="580"/>
      <c r="B295" s="570"/>
      <c r="C295" s="589">
        <v>4300</v>
      </c>
      <c r="D295" s="450" t="s">
        <v>207</v>
      </c>
      <c r="E295" s="502">
        <f t="shared" si="60"/>
        <v>172570</v>
      </c>
      <c r="F295" s="445">
        <f t="shared" si="61"/>
        <v>172570</v>
      </c>
      <c r="G295" s="445">
        <f t="shared" si="62"/>
        <v>172570</v>
      </c>
      <c r="H295" s="451">
        <v>172570</v>
      </c>
      <c r="I295" s="445">
        <f t="shared" si="63"/>
        <v>0</v>
      </c>
      <c r="J295" s="451"/>
      <c r="K295" s="451"/>
      <c r="L295" s="451"/>
      <c r="M295" s="451"/>
      <c r="N295" s="451"/>
      <c r="O295" s="451"/>
      <c r="P295" s="451"/>
      <c r="Q295" s="451"/>
      <c r="R295" s="451"/>
      <c r="S295" s="445">
        <f t="shared" si="65"/>
        <v>0</v>
      </c>
      <c r="T295" s="451"/>
      <c r="U295" s="451"/>
      <c r="V295" s="451"/>
    </row>
    <row r="296" spans="1:22" s="441" customFormat="1" ht="30">
      <c r="A296" s="580"/>
      <c r="B296" s="570"/>
      <c r="C296" s="589">
        <v>4350</v>
      </c>
      <c r="D296" s="450" t="s">
        <v>111</v>
      </c>
      <c r="E296" s="502">
        <f t="shared" si="60"/>
        <v>5830</v>
      </c>
      <c r="F296" s="445">
        <f t="shared" si="61"/>
        <v>5830</v>
      </c>
      <c r="G296" s="445">
        <f t="shared" si="62"/>
        <v>5830</v>
      </c>
      <c r="H296" s="451">
        <v>5830</v>
      </c>
      <c r="I296" s="445">
        <f t="shared" si="63"/>
        <v>0</v>
      </c>
      <c r="J296" s="451"/>
      <c r="K296" s="451"/>
      <c r="L296" s="451"/>
      <c r="M296" s="451"/>
      <c r="N296" s="451"/>
      <c r="O296" s="451"/>
      <c r="P296" s="451"/>
      <c r="Q296" s="451"/>
      <c r="R296" s="451"/>
      <c r="S296" s="445">
        <f t="shared" si="65"/>
        <v>0</v>
      </c>
      <c r="T296" s="451"/>
      <c r="U296" s="451"/>
      <c r="V296" s="451"/>
    </row>
    <row r="297" spans="1:22" s="441" customFormat="1" ht="60">
      <c r="A297" s="580"/>
      <c r="B297" s="570"/>
      <c r="C297" s="589">
        <v>4360</v>
      </c>
      <c r="D297" s="450" t="s">
        <v>245</v>
      </c>
      <c r="E297" s="502">
        <f t="shared" si="60"/>
        <v>9770</v>
      </c>
      <c r="F297" s="445">
        <f t="shared" si="61"/>
        <v>9770</v>
      </c>
      <c r="G297" s="445">
        <f t="shared" si="62"/>
        <v>9770</v>
      </c>
      <c r="H297" s="451">
        <v>9770</v>
      </c>
      <c r="I297" s="445">
        <f t="shared" si="63"/>
        <v>0</v>
      </c>
      <c r="J297" s="451"/>
      <c r="K297" s="451"/>
      <c r="L297" s="451"/>
      <c r="M297" s="451"/>
      <c r="N297" s="451"/>
      <c r="O297" s="451"/>
      <c r="P297" s="451"/>
      <c r="Q297" s="451"/>
      <c r="R297" s="451"/>
      <c r="S297" s="445">
        <f t="shared" si="65"/>
        <v>0</v>
      </c>
      <c r="T297" s="451"/>
      <c r="U297" s="451"/>
      <c r="V297" s="451"/>
    </row>
    <row r="298" spans="1:22" s="441" customFormat="1" ht="67.5" customHeight="1">
      <c r="A298" s="580"/>
      <c r="B298" s="570"/>
      <c r="C298" s="589">
        <v>4370</v>
      </c>
      <c r="D298" s="450" t="s">
        <v>238</v>
      </c>
      <c r="E298" s="502">
        <f t="shared" si="60"/>
        <v>17479</v>
      </c>
      <c r="F298" s="445">
        <f t="shared" si="61"/>
        <v>17479</v>
      </c>
      <c r="G298" s="445">
        <f t="shared" si="62"/>
        <v>17479</v>
      </c>
      <c r="H298" s="451">
        <v>17479</v>
      </c>
      <c r="I298" s="445">
        <f t="shared" si="63"/>
        <v>0</v>
      </c>
      <c r="J298" s="451"/>
      <c r="K298" s="451"/>
      <c r="L298" s="451"/>
      <c r="M298" s="451"/>
      <c r="N298" s="451"/>
      <c r="O298" s="451"/>
      <c r="P298" s="451"/>
      <c r="Q298" s="451"/>
      <c r="R298" s="451"/>
      <c r="S298" s="445">
        <f t="shared" si="65"/>
        <v>0</v>
      </c>
      <c r="T298" s="451"/>
      <c r="U298" s="451"/>
      <c r="V298" s="451"/>
    </row>
    <row r="299" spans="1:22" s="441" customFormat="1" ht="30">
      <c r="A299" s="580"/>
      <c r="B299" s="570"/>
      <c r="C299" s="589">
        <v>4410</v>
      </c>
      <c r="D299" s="450" t="s">
        <v>115</v>
      </c>
      <c r="E299" s="502">
        <f aca="true" t="shared" si="70" ref="E299:E363">F299+S299</f>
        <v>12710</v>
      </c>
      <c r="F299" s="445">
        <f t="shared" si="61"/>
        <v>12710</v>
      </c>
      <c r="G299" s="445">
        <f t="shared" si="62"/>
        <v>12710</v>
      </c>
      <c r="H299" s="451">
        <v>12710</v>
      </c>
      <c r="I299" s="445">
        <f t="shared" si="63"/>
        <v>0</v>
      </c>
      <c r="J299" s="451"/>
      <c r="K299" s="451"/>
      <c r="L299" s="451"/>
      <c r="M299" s="451"/>
      <c r="N299" s="451"/>
      <c r="O299" s="451"/>
      <c r="P299" s="451"/>
      <c r="Q299" s="451"/>
      <c r="R299" s="451"/>
      <c r="S299" s="445">
        <f t="shared" si="65"/>
        <v>0</v>
      </c>
      <c r="T299" s="451"/>
      <c r="U299" s="451"/>
      <c r="V299" s="451"/>
    </row>
    <row r="300" spans="1:22" s="441" customFormat="1" ht="30" customHeight="1" hidden="1">
      <c r="A300" s="580"/>
      <c r="B300" s="570"/>
      <c r="C300" s="594">
        <v>4420</v>
      </c>
      <c r="D300" s="458" t="s">
        <v>588</v>
      </c>
      <c r="E300" s="502">
        <f t="shared" si="70"/>
        <v>0</v>
      </c>
      <c r="F300" s="445">
        <f aca="true" t="shared" si="71" ref="F300:F364">G300+N300+O300+P300+Q300+R300</f>
        <v>0</v>
      </c>
      <c r="G300" s="445">
        <f aca="true" t="shared" si="72" ref="G300:G364">H300+I300</f>
        <v>0</v>
      </c>
      <c r="H300" s="451"/>
      <c r="I300" s="445">
        <f aca="true" t="shared" si="73" ref="I300:I364">SUM(J300:M300)</f>
        <v>0</v>
      </c>
      <c r="J300" s="451"/>
      <c r="K300" s="451"/>
      <c r="L300" s="451"/>
      <c r="M300" s="451"/>
      <c r="N300" s="451"/>
      <c r="O300" s="451"/>
      <c r="P300" s="451"/>
      <c r="Q300" s="451"/>
      <c r="R300" s="451"/>
      <c r="S300" s="445">
        <f aca="true" t="shared" si="74" ref="S300:S364">T300+V300</f>
        <v>0</v>
      </c>
      <c r="T300" s="451"/>
      <c r="U300" s="451"/>
      <c r="V300" s="451"/>
    </row>
    <row r="301" spans="1:22" s="441" customFormat="1" ht="15.75">
      <c r="A301" s="580"/>
      <c r="B301" s="570"/>
      <c r="C301" s="589">
        <v>4430</v>
      </c>
      <c r="D301" s="450" t="s">
        <v>116</v>
      </c>
      <c r="E301" s="502">
        <f t="shared" si="70"/>
        <v>31670</v>
      </c>
      <c r="F301" s="445">
        <f t="shared" si="71"/>
        <v>31670</v>
      </c>
      <c r="G301" s="445">
        <f t="shared" si="72"/>
        <v>31670</v>
      </c>
      <c r="H301" s="451">
        <v>31670</v>
      </c>
      <c r="I301" s="445">
        <f t="shared" si="73"/>
        <v>0</v>
      </c>
      <c r="J301" s="451"/>
      <c r="K301" s="451"/>
      <c r="L301" s="451"/>
      <c r="M301" s="451"/>
      <c r="N301" s="451"/>
      <c r="O301" s="451"/>
      <c r="P301" s="451"/>
      <c r="Q301" s="451"/>
      <c r="R301" s="451"/>
      <c r="S301" s="445">
        <f t="shared" si="74"/>
        <v>0</v>
      </c>
      <c r="T301" s="451"/>
      <c r="U301" s="451"/>
      <c r="V301" s="451"/>
    </row>
    <row r="302" spans="1:22" s="441" customFormat="1" ht="45">
      <c r="A302" s="580"/>
      <c r="B302" s="570"/>
      <c r="C302" s="589">
        <v>4440</v>
      </c>
      <c r="D302" s="450" t="s">
        <v>117</v>
      </c>
      <c r="E302" s="502">
        <f t="shared" si="70"/>
        <v>255892</v>
      </c>
      <c r="F302" s="445">
        <f t="shared" si="71"/>
        <v>255892</v>
      </c>
      <c r="G302" s="445">
        <f t="shared" si="72"/>
        <v>255892</v>
      </c>
      <c r="H302" s="451">
        <v>255892</v>
      </c>
      <c r="I302" s="445">
        <f t="shared" si="73"/>
        <v>0</v>
      </c>
      <c r="J302" s="451"/>
      <c r="K302" s="451"/>
      <c r="L302" s="451"/>
      <c r="M302" s="451"/>
      <c r="N302" s="451"/>
      <c r="O302" s="451"/>
      <c r="P302" s="451"/>
      <c r="Q302" s="451"/>
      <c r="R302" s="451"/>
      <c r="S302" s="445">
        <f t="shared" si="74"/>
        <v>0</v>
      </c>
      <c r="T302" s="451"/>
      <c r="U302" s="451"/>
      <c r="V302" s="451"/>
    </row>
    <row r="303" spans="1:22" s="441" customFormat="1" ht="30">
      <c r="A303" s="580"/>
      <c r="B303" s="570"/>
      <c r="C303" s="589">
        <v>4510</v>
      </c>
      <c r="D303" s="450" t="s">
        <v>420</v>
      </c>
      <c r="E303" s="502">
        <f t="shared" si="70"/>
        <v>820</v>
      </c>
      <c r="F303" s="445">
        <f t="shared" si="71"/>
        <v>820</v>
      </c>
      <c r="G303" s="445">
        <f t="shared" si="72"/>
        <v>820</v>
      </c>
      <c r="H303" s="451">
        <v>820</v>
      </c>
      <c r="I303" s="445">
        <f t="shared" si="73"/>
        <v>0</v>
      </c>
      <c r="J303" s="451"/>
      <c r="K303" s="451"/>
      <c r="L303" s="451"/>
      <c r="M303" s="451"/>
      <c r="N303" s="451"/>
      <c r="O303" s="451"/>
      <c r="P303" s="451"/>
      <c r="Q303" s="451"/>
      <c r="R303" s="451"/>
      <c r="S303" s="445">
        <f t="shared" si="74"/>
        <v>0</v>
      </c>
      <c r="T303" s="451"/>
      <c r="U303" s="451"/>
      <c r="V303" s="451"/>
    </row>
    <row r="304" spans="1:22" s="441" customFormat="1" ht="30">
      <c r="A304" s="580"/>
      <c r="B304" s="570"/>
      <c r="C304" s="589">
        <v>4480</v>
      </c>
      <c r="D304" s="450" t="s">
        <v>246</v>
      </c>
      <c r="E304" s="502">
        <f t="shared" si="70"/>
        <v>2630</v>
      </c>
      <c r="F304" s="445">
        <f t="shared" si="71"/>
        <v>2630</v>
      </c>
      <c r="G304" s="445">
        <f t="shared" si="72"/>
        <v>2630</v>
      </c>
      <c r="H304" s="451">
        <v>2630</v>
      </c>
      <c r="I304" s="445">
        <f t="shared" si="73"/>
        <v>0</v>
      </c>
      <c r="J304" s="451"/>
      <c r="K304" s="451"/>
      <c r="L304" s="451"/>
      <c r="M304" s="451"/>
      <c r="N304" s="451"/>
      <c r="O304" s="451"/>
      <c r="P304" s="451"/>
      <c r="Q304" s="451"/>
      <c r="R304" s="451"/>
      <c r="S304" s="445">
        <f t="shared" si="74"/>
        <v>0</v>
      </c>
      <c r="T304" s="451"/>
      <c r="U304" s="451"/>
      <c r="V304" s="451"/>
    </row>
    <row r="305" spans="1:22" s="441" customFormat="1" ht="51" customHeight="1">
      <c r="A305" s="580"/>
      <c r="B305" s="570"/>
      <c r="C305" s="589">
        <v>4500</v>
      </c>
      <c r="D305" s="450" t="s">
        <v>210</v>
      </c>
      <c r="E305" s="502">
        <f t="shared" si="70"/>
        <v>1071</v>
      </c>
      <c r="F305" s="445">
        <f t="shared" si="71"/>
        <v>1071</v>
      </c>
      <c r="G305" s="445">
        <f t="shared" si="72"/>
        <v>1071</v>
      </c>
      <c r="H305" s="451">
        <v>1071</v>
      </c>
      <c r="I305" s="445">
        <f t="shared" si="73"/>
        <v>0</v>
      </c>
      <c r="J305" s="451"/>
      <c r="K305" s="451"/>
      <c r="L305" s="451"/>
      <c r="M305" s="451"/>
      <c r="N305" s="451"/>
      <c r="O305" s="451"/>
      <c r="P305" s="451"/>
      <c r="Q305" s="451"/>
      <c r="R305" s="451"/>
      <c r="S305" s="445">
        <f t="shared" si="74"/>
        <v>0</v>
      </c>
      <c r="T305" s="451"/>
      <c r="U305" s="451"/>
      <c r="V305" s="451"/>
    </row>
    <row r="306" spans="1:22" s="441" customFormat="1" ht="50.25" customHeight="1">
      <c r="A306" s="580"/>
      <c r="B306" s="570"/>
      <c r="C306" s="589">
        <v>4700</v>
      </c>
      <c r="D306" s="450" t="s">
        <v>385</v>
      </c>
      <c r="E306" s="502">
        <f t="shared" si="70"/>
        <v>9700</v>
      </c>
      <c r="F306" s="445">
        <f t="shared" si="71"/>
        <v>9700</v>
      </c>
      <c r="G306" s="445">
        <f t="shared" si="72"/>
        <v>9700</v>
      </c>
      <c r="H306" s="451">
        <v>9700</v>
      </c>
      <c r="I306" s="445">
        <f t="shared" si="73"/>
        <v>0</v>
      </c>
      <c r="J306" s="451"/>
      <c r="K306" s="451"/>
      <c r="L306" s="451"/>
      <c r="M306" s="451"/>
      <c r="N306" s="451"/>
      <c r="O306" s="451"/>
      <c r="P306" s="451"/>
      <c r="Q306" s="451"/>
      <c r="R306" s="451"/>
      <c r="S306" s="445">
        <f t="shared" si="74"/>
        <v>0</v>
      </c>
      <c r="T306" s="451"/>
      <c r="U306" s="451"/>
      <c r="V306" s="451"/>
    </row>
    <row r="307" spans="1:22" s="441" customFormat="1" ht="60">
      <c r="A307" s="580"/>
      <c r="B307" s="570"/>
      <c r="C307" s="589">
        <v>4740</v>
      </c>
      <c r="D307" s="450" t="s">
        <v>199</v>
      </c>
      <c r="E307" s="502">
        <f t="shared" si="70"/>
        <v>10030</v>
      </c>
      <c r="F307" s="445">
        <f t="shared" si="71"/>
        <v>10030</v>
      </c>
      <c r="G307" s="445">
        <f t="shared" si="72"/>
        <v>10030</v>
      </c>
      <c r="H307" s="451">
        <v>10030</v>
      </c>
      <c r="I307" s="445">
        <f t="shared" si="73"/>
        <v>0</v>
      </c>
      <c r="J307" s="451"/>
      <c r="K307" s="451"/>
      <c r="L307" s="451"/>
      <c r="M307" s="451"/>
      <c r="N307" s="451"/>
      <c r="O307" s="451"/>
      <c r="P307" s="451"/>
      <c r="Q307" s="451"/>
      <c r="R307" s="451"/>
      <c r="S307" s="445">
        <f t="shared" si="74"/>
        <v>0</v>
      </c>
      <c r="T307" s="451"/>
      <c r="U307" s="451"/>
      <c r="V307" s="451"/>
    </row>
    <row r="308" spans="1:22" s="441" customFormat="1" ht="45">
      <c r="A308" s="580"/>
      <c r="B308" s="570"/>
      <c r="C308" s="589">
        <v>4750</v>
      </c>
      <c r="D308" s="450" t="s">
        <v>239</v>
      </c>
      <c r="E308" s="502">
        <f t="shared" si="70"/>
        <v>28860</v>
      </c>
      <c r="F308" s="445">
        <f t="shared" si="71"/>
        <v>28860</v>
      </c>
      <c r="G308" s="445">
        <f t="shared" si="72"/>
        <v>28860</v>
      </c>
      <c r="H308" s="451">
        <v>28860</v>
      </c>
      <c r="I308" s="445">
        <f t="shared" si="73"/>
        <v>0</v>
      </c>
      <c r="J308" s="451"/>
      <c r="K308" s="451"/>
      <c r="L308" s="451"/>
      <c r="M308" s="451"/>
      <c r="N308" s="451"/>
      <c r="O308" s="451"/>
      <c r="P308" s="451"/>
      <c r="Q308" s="451"/>
      <c r="R308" s="451"/>
      <c r="S308" s="445">
        <f t="shared" si="74"/>
        <v>0</v>
      </c>
      <c r="T308" s="451"/>
      <c r="U308" s="451"/>
      <c r="V308" s="451"/>
    </row>
    <row r="309" spans="1:22" s="441" customFormat="1" ht="45" customHeight="1" hidden="1">
      <c r="A309" s="580"/>
      <c r="B309" s="570"/>
      <c r="C309" s="589">
        <v>4610</v>
      </c>
      <c r="D309" s="450" t="s">
        <v>211</v>
      </c>
      <c r="E309" s="502">
        <f t="shared" si="70"/>
        <v>0</v>
      </c>
      <c r="F309" s="445">
        <f t="shared" si="71"/>
        <v>0</v>
      </c>
      <c r="G309" s="445">
        <f t="shared" si="72"/>
        <v>0</v>
      </c>
      <c r="H309" s="451"/>
      <c r="I309" s="445">
        <f t="shared" si="73"/>
        <v>0</v>
      </c>
      <c r="J309" s="451"/>
      <c r="K309" s="451"/>
      <c r="L309" s="451"/>
      <c r="M309" s="451"/>
      <c r="N309" s="451"/>
      <c r="O309" s="451"/>
      <c r="P309" s="451"/>
      <c r="Q309" s="451"/>
      <c r="R309" s="451"/>
      <c r="S309" s="445">
        <f t="shared" si="74"/>
        <v>0</v>
      </c>
      <c r="T309" s="451"/>
      <c r="U309" s="451"/>
      <c r="V309" s="451"/>
    </row>
    <row r="310" spans="1:22" s="441" customFormat="1" ht="37.5" customHeight="1">
      <c r="A310" s="580"/>
      <c r="B310" s="570"/>
      <c r="C310" s="589">
        <v>6050</v>
      </c>
      <c r="D310" s="453" t="s">
        <v>121</v>
      </c>
      <c r="E310" s="502">
        <f t="shared" si="70"/>
        <v>26000</v>
      </c>
      <c r="F310" s="445">
        <f t="shared" si="71"/>
        <v>0</v>
      </c>
      <c r="G310" s="445">
        <f t="shared" si="72"/>
        <v>0</v>
      </c>
      <c r="H310" s="451"/>
      <c r="I310" s="445">
        <f t="shared" si="73"/>
        <v>0</v>
      </c>
      <c r="J310" s="451"/>
      <c r="K310" s="451"/>
      <c r="L310" s="451"/>
      <c r="M310" s="451"/>
      <c r="N310" s="451"/>
      <c r="O310" s="451"/>
      <c r="P310" s="451"/>
      <c r="Q310" s="451"/>
      <c r="R310" s="451"/>
      <c r="S310" s="445">
        <f t="shared" si="74"/>
        <v>26000</v>
      </c>
      <c r="T310" s="451">
        <v>26000</v>
      </c>
      <c r="U310" s="451"/>
      <c r="V310" s="451"/>
    </row>
    <row r="311" spans="1:22" s="441" customFormat="1" ht="37.5" customHeight="1">
      <c r="A311" s="580"/>
      <c r="B311" s="570"/>
      <c r="C311" s="408">
        <v>6059</v>
      </c>
      <c r="D311" s="453" t="s">
        <v>121</v>
      </c>
      <c r="E311" s="502">
        <f t="shared" si="70"/>
        <v>11200</v>
      </c>
      <c r="F311" s="445">
        <f t="shared" si="71"/>
        <v>0</v>
      </c>
      <c r="G311" s="445">
        <f t="shared" si="72"/>
        <v>0</v>
      </c>
      <c r="H311" s="451"/>
      <c r="I311" s="445">
        <f t="shared" si="73"/>
        <v>0</v>
      </c>
      <c r="J311" s="451"/>
      <c r="K311" s="451"/>
      <c r="L311" s="451"/>
      <c r="M311" s="451"/>
      <c r="N311" s="451"/>
      <c r="O311" s="451"/>
      <c r="P311" s="451"/>
      <c r="Q311" s="451"/>
      <c r="R311" s="451"/>
      <c r="S311" s="445">
        <f t="shared" si="74"/>
        <v>11200</v>
      </c>
      <c r="T311" s="451">
        <f>SUM(U311)</f>
        <v>11200</v>
      </c>
      <c r="U311" s="451">
        <v>11200</v>
      </c>
      <c r="V311" s="451"/>
    </row>
    <row r="312" spans="1:22" s="441" customFormat="1" ht="45">
      <c r="A312" s="580"/>
      <c r="B312" s="570"/>
      <c r="C312" s="589">
        <v>6060</v>
      </c>
      <c r="D312" s="453" t="s">
        <v>387</v>
      </c>
      <c r="E312" s="502">
        <f t="shared" si="70"/>
        <v>0</v>
      </c>
      <c r="F312" s="445">
        <f t="shared" si="71"/>
        <v>0</v>
      </c>
      <c r="G312" s="445">
        <f t="shared" si="72"/>
        <v>0</v>
      </c>
      <c r="H312" s="451"/>
      <c r="I312" s="445">
        <f t="shared" si="73"/>
        <v>0</v>
      </c>
      <c r="J312" s="451"/>
      <c r="K312" s="451"/>
      <c r="L312" s="451"/>
      <c r="M312" s="451"/>
      <c r="N312" s="451"/>
      <c r="O312" s="451"/>
      <c r="P312" s="451"/>
      <c r="Q312" s="451"/>
      <c r="R312" s="451"/>
      <c r="S312" s="445">
        <f t="shared" si="74"/>
        <v>0</v>
      </c>
      <c r="T312" s="451"/>
      <c r="U312" s="451"/>
      <c r="V312" s="451"/>
    </row>
    <row r="313" spans="1:22" s="449" customFormat="1" ht="15.75">
      <c r="A313" s="579"/>
      <c r="B313" s="571">
        <v>80132</v>
      </c>
      <c r="C313" s="588"/>
      <c r="D313" s="262" t="s">
        <v>247</v>
      </c>
      <c r="E313" s="502">
        <f t="shared" si="70"/>
        <v>1750363</v>
      </c>
      <c r="F313" s="445">
        <f t="shared" si="71"/>
        <v>1750363</v>
      </c>
      <c r="G313" s="445">
        <f t="shared" si="72"/>
        <v>1705396</v>
      </c>
      <c r="H313" s="448">
        <f>SUM(H314:H335)</f>
        <v>201770</v>
      </c>
      <c r="I313" s="445">
        <f t="shared" si="73"/>
        <v>1503626</v>
      </c>
      <c r="J313" s="448">
        <f aca="true" t="shared" si="75" ref="J313:R313">SUM(J314:J335)</f>
        <v>1202277</v>
      </c>
      <c r="K313" s="448">
        <f t="shared" si="75"/>
        <v>74644</v>
      </c>
      <c r="L313" s="448">
        <f t="shared" si="75"/>
        <v>222975</v>
      </c>
      <c r="M313" s="448">
        <f t="shared" si="75"/>
        <v>3730</v>
      </c>
      <c r="N313" s="448">
        <f t="shared" si="75"/>
        <v>44967</v>
      </c>
      <c r="O313" s="448">
        <f t="shared" si="75"/>
        <v>0</v>
      </c>
      <c r="P313" s="448">
        <f>SUM(P314:P335)</f>
        <v>0</v>
      </c>
      <c r="Q313" s="448">
        <f t="shared" si="75"/>
        <v>0</v>
      </c>
      <c r="R313" s="448">
        <f t="shared" si="75"/>
        <v>0</v>
      </c>
      <c r="S313" s="445">
        <f t="shared" si="74"/>
        <v>0</v>
      </c>
      <c r="T313" s="448">
        <f>SUM(T314:T335)</f>
        <v>0</v>
      </c>
      <c r="U313" s="448">
        <f>SUM(U314:U335)</f>
        <v>0</v>
      </c>
      <c r="V313" s="448">
        <f>SUM(V314:V335)</f>
        <v>0</v>
      </c>
    </row>
    <row r="314" spans="1:22" s="441" customFormat="1" ht="45">
      <c r="A314" s="580"/>
      <c r="B314" s="570"/>
      <c r="C314" s="589">
        <v>3020</v>
      </c>
      <c r="D314" s="450" t="s">
        <v>386</v>
      </c>
      <c r="E314" s="502">
        <f t="shared" si="70"/>
        <v>44967</v>
      </c>
      <c r="F314" s="445">
        <f t="shared" si="71"/>
        <v>44967</v>
      </c>
      <c r="G314" s="445">
        <f t="shared" si="72"/>
        <v>0</v>
      </c>
      <c r="H314" s="451"/>
      <c r="I314" s="445">
        <f t="shared" si="73"/>
        <v>0</v>
      </c>
      <c r="J314" s="451"/>
      <c r="K314" s="451"/>
      <c r="L314" s="451"/>
      <c r="M314" s="451"/>
      <c r="N314" s="451">
        <v>44967</v>
      </c>
      <c r="O314" s="451"/>
      <c r="P314" s="451"/>
      <c r="Q314" s="451"/>
      <c r="R314" s="451"/>
      <c r="S314" s="445">
        <f t="shared" si="74"/>
        <v>0</v>
      </c>
      <c r="T314" s="451"/>
      <c r="U314" s="451"/>
      <c r="V314" s="451"/>
    </row>
    <row r="315" spans="1:22" s="441" customFormat="1" ht="30">
      <c r="A315" s="580"/>
      <c r="B315" s="570"/>
      <c r="C315" s="589">
        <v>4010</v>
      </c>
      <c r="D315" s="450" t="s">
        <v>102</v>
      </c>
      <c r="E315" s="502">
        <f t="shared" si="70"/>
        <v>1202277</v>
      </c>
      <c r="F315" s="445">
        <f t="shared" si="71"/>
        <v>1202277</v>
      </c>
      <c r="G315" s="445">
        <f t="shared" si="72"/>
        <v>1202277</v>
      </c>
      <c r="H315" s="451"/>
      <c r="I315" s="445">
        <f t="shared" si="73"/>
        <v>1202277</v>
      </c>
      <c r="J315" s="451">
        <v>1202277</v>
      </c>
      <c r="K315" s="451"/>
      <c r="L315" s="451"/>
      <c r="M315" s="451"/>
      <c r="N315" s="451"/>
      <c r="O315" s="451"/>
      <c r="P315" s="451"/>
      <c r="Q315" s="451"/>
      <c r="R315" s="451"/>
      <c r="S315" s="445">
        <f t="shared" si="74"/>
        <v>0</v>
      </c>
      <c r="T315" s="451"/>
      <c r="U315" s="451"/>
      <c r="V315" s="451"/>
    </row>
    <row r="316" spans="1:22" s="441" customFormat="1" ht="30">
      <c r="A316" s="580"/>
      <c r="B316" s="570"/>
      <c r="C316" s="589">
        <v>4040</v>
      </c>
      <c r="D316" s="450" t="s">
        <v>103</v>
      </c>
      <c r="E316" s="502">
        <f t="shared" si="70"/>
        <v>74644</v>
      </c>
      <c r="F316" s="445">
        <f t="shared" si="71"/>
        <v>74644</v>
      </c>
      <c r="G316" s="445">
        <f t="shared" si="72"/>
        <v>74644</v>
      </c>
      <c r="H316" s="451"/>
      <c r="I316" s="445">
        <f t="shared" si="73"/>
        <v>74644</v>
      </c>
      <c r="J316" s="451"/>
      <c r="K316" s="451">
        <v>74644</v>
      </c>
      <c r="L316" s="451"/>
      <c r="M316" s="451"/>
      <c r="N316" s="451"/>
      <c r="O316" s="451"/>
      <c r="P316" s="451"/>
      <c r="Q316" s="451"/>
      <c r="R316" s="451"/>
      <c r="S316" s="445">
        <f t="shared" si="74"/>
        <v>0</v>
      </c>
      <c r="T316" s="451"/>
      <c r="U316" s="451"/>
      <c r="V316" s="451"/>
    </row>
    <row r="317" spans="1:22" s="441" customFormat="1" ht="45">
      <c r="A317" s="580"/>
      <c r="B317" s="570"/>
      <c r="C317" s="589">
        <v>4110</v>
      </c>
      <c r="D317" s="450" t="s">
        <v>234</v>
      </c>
      <c r="E317" s="502">
        <f t="shared" si="70"/>
        <v>190590</v>
      </c>
      <c r="F317" s="445">
        <f t="shared" si="71"/>
        <v>190590</v>
      </c>
      <c r="G317" s="445">
        <f t="shared" si="72"/>
        <v>190590</v>
      </c>
      <c r="H317" s="451"/>
      <c r="I317" s="445">
        <f t="shared" si="73"/>
        <v>190590</v>
      </c>
      <c r="J317" s="451"/>
      <c r="K317" s="451"/>
      <c r="L317" s="451">
        <v>190590</v>
      </c>
      <c r="M317" s="451"/>
      <c r="N317" s="451"/>
      <c r="O317" s="451"/>
      <c r="P317" s="451"/>
      <c r="Q317" s="451"/>
      <c r="R317" s="451"/>
      <c r="S317" s="445">
        <f t="shared" si="74"/>
        <v>0</v>
      </c>
      <c r="T317" s="451"/>
      <c r="U317" s="451"/>
      <c r="V317" s="451"/>
    </row>
    <row r="318" spans="1:22" s="441" customFormat="1" ht="30">
      <c r="A318" s="580"/>
      <c r="B318" s="570"/>
      <c r="C318" s="589">
        <v>4120</v>
      </c>
      <c r="D318" s="450" t="s">
        <v>105</v>
      </c>
      <c r="E318" s="502">
        <f t="shared" si="70"/>
        <v>32385</v>
      </c>
      <c r="F318" s="445">
        <f t="shared" si="71"/>
        <v>32385</v>
      </c>
      <c r="G318" s="445">
        <f t="shared" si="72"/>
        <v>32385</v>
      </c>
      <c r="H318" s="451"/>
      <c r="I318" s="445">
        <f t="shared" si="73"/>
        <v>32385</v>
      </c>
      <c r="J318" s="451"/>
      <c r="K318" s="451"/>
      <c r="L318" s="451">
        <v>32385</v>
      </c>
      <c r="M318" s="451"/>
      <c r="N318" s="451"/>
      <c r="O318" s="451"/>
      <c r="P318" s="451"/>
      <c r="Q318" s="451"/>
      <c r="R318" s="451"/>
      <c r="S318" s="445">
        <f t="shared" si="74"/>
        <v>0</v>
      </c>
      <c r="T318" s="451"/>
      <c r="U318" s="451"/>
      <c r="V318" s="451"/>
    </row>
    <row r="319" spans="1:22" s="441" customFormat="1" ht="34.5" customHeight="1">
      <c r="A319" s="580"/>
      <c r="B319" s="570"/>
      <c r="C319" s="589">
        <v>4170</v>
      </c>
      <c r="D319" s="450" t="s">
        <v>196</v>
      </c>
      <c r="E319" s="502">
        <f t="shared" si="70"/>
        <v>3730</v>
      </c>
      <c r="F319" s="445">
        <f t="shared" si="71"/>
        <v>3730</v>
      </c>
      <c r="G319" s="445">
        <f t="shared" si="72"/>
        <v>3730</v>
      </c>
      <c r="H319" s="451"/>
      <c r="I319" s="445">
        <f t="shared" si="73"/>
        <v>3730</v>
      </c>
      <c r="J319" s="451"/>
      <c r="K319" s="451"/>
      <c r="L319" s="451"/>
      <c r="M319" s="451">
        <v>3730</v>
      </c>
      <c r="N319" s="451"/>
      <c r="O319" s="451"/>
      <c r="P319" s="451"/>
      <c r="Q319" s="451"/>
      <c r="R319" s="451"/>
      <c r="S319" s="445">
        <f t="shared" si="74"/>
        <v>0</v>
      </c>
      <c r="T319" s="451"/>
      <c r="U319" s="451"/>
      <c r="V319" s="451"/>
    </row>
    <row r="320" spans="1:22" s="441" customFormat="1" ht="30">
      <c r="A320" s="580"/>
      <c r="B320" s="570"/>
      <c r="C320" s="589">
        <v>4210</v>
      </c>
      <c r="D320" s="450" t="s">
        <v>107</v>
      </c>
      <c r="E320" s="502">
        <f t="shared" si="70"/>
        <v>9930</v>
      </c>
      <c r="F320" s="445">
        <f t="shared" si="71"/>
        <v>9930</v>
      </c>
      <c r="G320" s="445">
        <f t="shared" si="72"/>
        <v>9930</v>
      </c>
      <c r="H320" s="451">
        <v>9930</v>
      </c>
      <c r="I320" s="445">
        <f t="shared" si="73"/>
        <v>0</v>
      </c>
      <c r="J320" s="451"/>
      <c r="K320" s="451"/>
      <c r="L320" s="451"/>
      <c r="M320" s="451"/>
      <c r="N320" s="451"/>
      <c r="O320" s="451"/>
      <c r="P320" s="451"/>
      <c r="Q320" s="451"/>
      <c r="R320" s="451"/>
      <c r="S320" s="445">
        <f t="shared" si="74"/>
        <v>0</v>
      </c>
      <c r="T320" s="451"/>
      <c r="U320" s="451"/>
      <c r="V320" s="451"/>
    </row>
    <row r="321" spans="1:22" s="441" customFormat="1" ht="45" customHeight="1" hidden="1">
      <c r="A321" s="580"/>
      <c r="B321" s="572"/>
      <c r="C321" s="589">
        <v>4240</v>
      </c>
      <c r="D321" s="450" t="s">
        <v>244</v>
      </c>
      <c r="E321" s="502">
        <f t="shared" si="70"/>
        <v>0</v>
      </c>
      <c r="F321" s="445">
        <f t="shared" si="71"/>
        <v>0</v>
      </c>
      <c r="G321" s="445">
        <f t="shared" si="72"/>
        <v>0</v>
      </c>
      <c r="H321" s="451"/>
      <c r="I321" s="445">
        <f t="shared" si="73"/>
        <v>0</v>
      </c>
      <c r="J321" s="451"/>
      <c r="K321" s="451"/>
      <c r="L321" s="451"/>
      <c r="M321" s="451"/>
      <c r="N321" s="451"/>
      <c r="O321" s="451"/>
      <c r="P321" s="451"/>
      <c r="Q321" s="451"/>
      <c r="R321" s="451"/>
      <c r="S321" s="445">
        <f t="shared" si="74"/>
        <v>0</v>
      </c>
      <c r="T321" s="451"/>
      <c r="U321" s="451"/>
      <c r="V321" s="451"/>
    </row>
    <row r="322" spans="1:22" s="441" customFormat="1" ht="15.75">
      <c r="A322" s="580"/>
      <c r="B322" s="570"/>
      <c r="C322" s="589">
        <v>4260</v>
      </c>
      <c r="D322" s="450" t="s">
        <v>108</v>
      </c>
      <c r="E322" s="502">
        <f t="shared" si="70"/>
        <v>15080</v>
      </c>
      <c r="F322" s="445">
        <f t="shared" si="71"/>
        <v>15080</v>
      </c>
      <c r="G322" s="445">
        <f t="shared" si="72"/>
        <v>15080</v>
      </c>
      <c r="H322" s="451">
        <v>15080</v>
      </c>
      <c r="I322" s="445">
        <f t="shared" si="73"/>
        <v>0</v>
      </c>
      <c r="J322" s="451"/>
      <c r="K322" s="451"/>
      <c r="L322" s="451"/>
      <c r="M322" s="451"/>
      <c r="N322" s="451"/>
      <c r="O322" s="451"/>
      <c r="P322" s="451"/>
      <c r="Q322" s="451"/>
      <c r="R322" s="451"/>
      <c r="S322" s="445">
        <f t="shared" si="74"/>
        <v>0</v>
      </c>
      <c r="T322" s="451"/>
      <c r="U322" s="451"/>
      <c r="V322" s="451"/>
    </row>
    <row r="323" spans="1:22" s="441" customFormat="1" ht="30">
      <c r="A323" s="580"/>
      <c r="B323" s="570"/>
      <c r="C323" s="589">
        <v>4270</v>
      </c>
      <c r="D323" s="450" t="s">
        <v>109</v>
      </c>
      <c r="E323" s="502">
        <f t="shared" si="70"/>
        <v>27483</v>
      </c>
      <c r="F323" s="445">
        <f t="shared" si="71"/>
        <v>27483</v>
      </c>
      <c r="G323" s="445">
        <f t="shared" si="72"/>
        <v>27483</v>
      </c>
      <c r="H323" s="451">
        <v>27483</v>
      </c>
      <c r="I323" s="445">
        <f t="shared" si="73"/>
        <v>0</v>
      </c>
      <c r="J323" s="451"/>
      <c r="K323" s="451"/>
      <c r="L323" s="451"/>
      <c r="M323" s="451"/>
      <c r="N323" s="451"/>
      <c r="O323" s="451"/>
      <c r="P323" s="451"/>
      <c r="Q323" s="451"/>
      <c r="R323" s="451"/>
      <c r="S323" s="445">
        <f t="shared" si="74"/>
        <v>0</v>
      </c>
      <c r="T323" s="451"/>
      <c r="U323" s="451"/>
      <c r="V323" s="451"/>
    </row>
    <row r="324" spans="1:22" s="441" customFormat="1" ht="28.5" customHeight="1">
      <c r="A324" s="580"/>
      <c r="B324" s="570"/>
      <c r="C324" s="589">
        <v>4280</v>
      </c>
      <c r="D324" s="450" t="s">
        <v>110</v>
      </c>
      <c r="E324" s="502">
        <f t="shared" si="70"/>
        <v>1150</v>
      </c>
      <c r="F324" s="445">
        <f t="shared" si="71"/>
        <v>1150</v>
      </c>
      <c r="G324" s="445">
        <f t="shared" si="72"/>
        <v>1150</v>
      </c>
      <c r="H324" s="451">
        <v>1150</v>
      </c>
      <c r="I324" s="445">
        <f t="shared" si="73"/>
        <v>0</v>
      </c>
      <c r="J324" s="451"/>
      <c r="K324" s="451"/>
      <c r="L324" s="451"/>
      <c r="M324" s="451"/>
      <c r="N324" s="451"/>
      <c r="O324" s="451"/>
      <c r="P324" s="451"/>
      <c r="Q324" s="451"/>
      <c r="R324" s="451"/>
      <c r="S324" s="445">
        <f t="shared" si="74"/>
        <v>0</v>
      </c>
      <c r="T324" s="451"/>
      <c r="U324" s="451"/>
      <c r="V324" s="451"/>
    </row>
    <row r="325" spans="1:22" s="441" customFormat="1" ht="33.75" customHeight="1">
      <c r="A325" s="580"/>
      <c r="B325" s="570"/>
      <c r="C325" s="589">
        <v>4300</v>
      </c>
      <c r="D325" s="450" t="s">
        <v>207</v>
      </c>
      <c r="E325" s="502">
        <f t="shared" si="70"/>
        <v>6710</v>
      </c>
      <c r="F325" s="445">
        <f t="shared" si="71"/>
        <v>6710</v>
      </c>
      <c r="G325" s="445">
        <f t="shared" si="72"/>
        <v>6710</v>
      </c>
      <c r="H325" s="451">
        <v>6710</v>
      </c>
      <c r="I325" s="445">
        <f t="shared" si="73"/>
        <v>0</v>
      </c>
      <c r="J325" s="451"/>
      <c r="K325" s="451"/>
      <c r="L325" s="451"/>
      <c r="M325" s="451"/>
      <c r="N325" s="451"/>
      <c r="O325" s="451"/>
      <c r="P325" s="451"/>
      <c r="Q325" s="451"/>
      <c r="R325" s="451"/>
      <c r="S325" s="445">
        <f t="shared" si="74"/>
        <v>0</v>
      </c>
      <c r="T325" s="451"/>
      <c r="U325" s="451"/>
      <c r="V325" s="451"/>
    </row>
    <row r="326" spans="1:22" s="441" customFormat="1" ht="30">
      <c r="A326" s="580"/>
      <c r="B326" s="570"/>
      <c r="C326" s="589">
        <v>4350</v>
      </c>
      <c r="D326" s="450" t="s">
        <v>111</v>
      </c>
      <c r="E326" s="502">
        <f t="shared" si="70"/>
        <v>1490</v>
      </c>
      <c r="F326" s="445">
        <f t="shared" si="71"/>
        <v>1490</v>
      </c>
      <c r="G326" s="445">
        <f t="shared" si="72"/>
        <v>1490</v>
      </c>
      <c r="H326" s="451">
        <v>1490</v>
      </c>
      <c r="I326" s="445">
        <f t="shared" si="73"/>
        <v>0</v>
      </c>
      <c r="J326" s="451"/>
      <c r="K326" s="451"/>
      <c r="L326" s="451"/>
      <c r="M326" s="451"/>
      <c r="N326" s="451"/>
      <c r="O326" s="451"/>
      <c r="P326" s="451"/>
      <c r="Q326" s="451"/>
      <c r="R326" s="451"/>
      <c r="S326" s="445">
        <f t="shared" si="74"/>
        <v>0</v>
      </c>
      <c r="T326" s="451"/>
      <c r="U326" s="451"/>
      <c r="V326" s="451"/>
    </row>
    <row r="327" spans="1:22" s="441" customFormat="1" ht="60">
      <c r="A327" s="580"/>
      <c r="B327" s="570"/>
      <c r="C327" s="589">
        <v>4370</v>
      </c>
      <c r="D327" s="450" t="s">
        <v>238</v>
      </c>
      <c r="E327" s="502">
        <f t="shared" si="70"/>
        <v>3550</v>
      </c>
      <c r="F327" s="445">
        <f t="shared" si="71"/>
        <v>3550</v>
      </c>
      <c r="G327" s="445">
        <f t="shared" si="72"/>
        <v>3550</v>
      </c>
      <c r="H327" s="451">
        <v>3550</v>
      </c>
      <c r="I327" s="445">
        <f t="shared" si="73"/>
        <v>0</v>
      </c>
      <c r="J327" s="451"/>
      <c r="K327" s="451"/>
      <c r="L327" s="451"/>
      <c r="M327" s="451"/>
      <c r="N327" s="451"/>
      <c r="O327" s="451"/>
      <c r="P327" s="451"/>
      <c r="Q327" s="451"/>
      <c r="R327" s="451"/>
      <c r="S327" s="445">
        <f t="shared" si="74"/>
        <v>0</v>
      </c>
      <c r="T327" s="451"/>
      <c r="U327" s="451"/>
      <c r="V327" s="451"/>
    </row>
    <row r="328" spans="1:22" s="441" customFormat="1" ht="80.25" customHeight="1">
      <c r="A328" s="580"/>
      <c r="B328" s="570"/>
      <c r="C328" s="589">
        <v>4400</v>
      </c>
      <c r="D328" s="450" t="s">
        <v>592</v>
      </c>
      <c r="E328" s="502">
        <f t="shared" si="70"/>
        <v>40345</v>
      </c>
      <c r="F328" s="445">
        <f t="shared" si="71"/>
        <v>40345</v>
      </c>
      <c r="G328" s="445">
        <f t="shared" si="72"/>
        <v>40345</v>
      </c>
      <c r="H328" s="451">
        <v>40345</v>
      </c>
      <c r="I328" s="445">
        <f t="shared" si="73"/>
        <v>0</v>
      </c>
      <c r="J328" s="451"/>
      <c r="K328" s="451"/>
      <c r="L328" s="451"/>
      <c r="M328" s="451"/>
      <c r="N328" s="451"/>
      <c r="O328" s="451"/>
      <c r="P328" s="451"/>
      <c r="Q328" s="451"/>
      <c r="R328" s="451"/>
      <c r="S328" s="445">
        <f t="shared" si="74"/>
        <v>0</v>
      </c>
      <c r="T328" s="451"/>
      <c r="U328" s="451"/>
      <c r="V328" s="451"/>
    </row>
    <row r="329" spans="1:22" s="441" customFormat="1" ht="30">
      <c r="A329" s="580"/>
      <c r="B329" s="570"/>
      <c r="C329" s="589">
        <v>4410</v>
      </c>
      <c r="D329" s="450" t="s">
        <v>115</v>
      </c>
      <c r="E329" s="502">
        <f t="shared" si="70"/>
        <v>3870</v>
      </c>
      <c r="F329" s="445">
        <f t="shared" si="71"/>
        <v>3870</v>
      </c>
      <c r="G329" s="445">
        <f t="shared" si="72"/>
        <v>3870</v>
      </c>
      <c r="H329" s="451">
        <v>3870</v>
      </c>
      <c r="I329" s="445">
        <f t="shared" si="73"/>
        <v>0</v>
      </c>
      <c r="J329" s="451"/>
      <c r="K329" s="451"/>
      <c r="L329" s="451"/>
      <c r="M329" s="451"/>
      <c r="N329" s="451"/>
      <c r="O329" s="451"/>
      <c r="P329" s="451"/>
      <c r="Q329" s="451"/>
      <c r="R329" s="451"/>
      <c r="S329" s="445">
        <f t="shared" si="74"/>
        <v>0</v>
      </c>
      <c r="T329" s="451"/>
      <c r="U329" s="451"/>
      <c r="V329" s="451"/>
    </row>
    <row r="330" spans="1:22" s="441" customFormat="1" ht="15.75">
      <c r="A330" s="580"/>
      <c r="B330" s="570"/>
      <c r="C330" s="589">
        <v>4430</v>
      </c>
      <c r="D330" s="450" t="s">
        <v>116</v>
      </c>
      <c r="E330" s="502">
        <f t="shared" si="70"/>
        <v>651</v>
      </c>
      <c r="F330" s="445">
        <f t="shared" si="71"/>
        <v>651</v>
      </c>
      <c r="G330" s="445">
        <f t="shared" si="72"/>
        <v>651</v>
      </c>
      <c r="H330" s="451">
        <v>651</v>
      </c>
      <c r="I330" s="445">
        <f t="shared" si="73"/>
        <v>0</v>
      </c>
      <c r="J330" s="451"/>
      <c r="K330" s="451"/>
      <c r="L330" s="451"/>
      <c r="M330" s="451"/>
      <c r="N330" s="451"/>
      <c r="O330" s="451"/>
      <c r="P330" s="451"/>
      <c r="Q330" s="451"/>
      <c r="R330" s="451"/>
      <c r="S330" s="445">
        <f t="shared" si="74"/>
        <v>0</v>
      </c>
      <c r="T330" s="451"/>
      <c r="U330" s="451"/>
      <c r="V330" s="451"/>
    </row>
    <row r="331" spans="1:22" s="441" customFormat="1" ht="45">
      <c r="A331" s="580"/>
      <c r="B331" s="570"/>
      <c r="C331" s="589">
        <v>4440</v>
      </c>
      <c r="D331" s="450" t="s">
        <v>117</v>
      </c>
      <c r="E331" s="502">
        <f t="shared" si="70"/>
        <v>81867</v>
      </c>
      <c r="F331" s="445">
        <f t="shared" si="71"/>
        <v>81867</v>
      </c>
      <c r="G331" s="445">
        <f t="shared" si="72"/>
        <v>81867</v>
      </c>
      <c r="H331" s="451">
        <v>81867</v>
      </c>
      <c r="I331" s="445">
        <f t="shared" si="73"/>
        <v>0</v>
      </c>
      <c r="J331" s="451"/>
      <c r="K331" s="451"/>
      <c r="L331" s="451"/>
      <c r="M331" s="451"/>
      <c r="N331" s="451"/>
      <c r="O331" s="451"/>
      <c r="P331" s="451"/>
      <c r="Q331" s="451"/>
      <c r="R331" s="451"/>
      <c r="S331" s="445">
        <f t="shared" si="74"/>
        <v>0</v>
      </c>
      <c r="T331" s="451"/>
      <c r="U331" s="451"/>
      <c r="V331" s="451"/>
    </row>
    <row r="332" spans="1:22" s="441" customFormat="1" ht="30">
      <c r="A332" s="580"/>
      <c r="B332" s="570"/>
      <c r="C332" s="589">
        <v>4510</v>
      </c>
      <c r="D332" s="450" t="s">
        <v>420</v>
      </c>
      <c r="E332" s="502">
        <f t="shared" si="70"/>
        <v>210</v>
      </c>
      <c r="F332" s="445">
        <f t="shared" si="71"/>
        <v>210</v>
      </c>
      <c r="G332" s="445">
        <f t="shared" si="72"/>
        <v>210</v>
      </c>
      <c r="H332" s="451">
        <v>210</v>
      </c>
      <c r="I332" s="445">
        <f t="shared" si="73"/>
        <v>0</v>
      </c>
      <c r="J332" s="451"/>
      <c r="K332" s="451"/>
      <c r="L332" s="451"/>
      <c r="M332" s="451"/>
      <c r="N332" s="451"/>
      <c r="O332" s="451"/>
      <c r="P332" s="451"/>
      <c r="Q332" s="451"/>
      <c r="R332" s="451"/>
      <c r="S332" s="445">
        <f t="shared" si="74"/>
        <v>0</v>
      </c>
      <c r="T332" s="451"/>
      <c r="U332" s="451"/>
      <c r="V332" s="451"/>
    </row>
    <row r="333" spans="1:22" s="441" customFormat="1" ht="45">
      <c r="A333" s="580"/>
      <c r="B333" s="570"/>
      <c r="C333" s="589">
        <v>4700</v>
      </c>
      <c r="D333" s="450" t="s">
        <v>385</v>
      </c>
      <c r="E333" s="502">
        <f t="shared" si="70"/>
        <v>2500</v>
      </c>
      <c r="F333" s="445">
        <f t="shared" si="71"/>
        <v>2500</v>
      </c>
      <c r="G333" s="445">
        <f t="shared" si="72"/>
        <v>2500</v>
      </c>
      <c r="H333" s="451">
        <v>2500</v>
      </c>
      <c r="I333" s="445">
        <f t="shared" si="73"/>
        <v>0</v>
      </c>
      <c r="J333" s="451"/>
      <c r="K333" s="451"/>
      <c r="L333" s="451"/>
      <c r="M333" s="451"/>
      <c r="N333" s="451"/>
      <c r="O333" s="451"/>
      <c r="P333" s="451"/>
      <c r="Q333" s="451"/>
      <c r="R333" s="451"/>
      <c r="S333" s="445">
        <f t="shared" si="74"/>
        <v>0</v>
      </c>
      <c r="T333" s="451"/>
      <c r="U333" s="451"/>
      <c r="V333" s="451"/>
    </row>
    <row r="334" spans="1:22" s="441" customFormat="1" ht="60">
      <c r="A334" s="580"/>
      <c r="B334" s="570"/>
      <c r="C334" s="589">
        <v>4740</v>
      </c>
      <c r="D334" s="450" t="s">
        <v>199</v>
      </c>
      <c r="E334" s="502">
        <f t="shared" si="70"/>
        <v>1370</v>
      </c>
      <c r="F334" s="445">
        <f t="shared" si="71"/>
        <v>1370</v>
      </c>
      <c r="G334" s="445">
        <f t="shared" si="72"/>
        <v>1370</v>
      </c>
      <c r="H334" s="451">
        <v>1370</v>
      </c>
      <c r="I334" s="445">
        <f t="shared" si="73"/>
        <v>0</v>
      </c>
      <c r="J334" s="451"/>
      <c r="K334" s="451"/>
      <c r="L334" s="451"/>
      <c r="M334" s="451"/>
      <c r="N334" s="451"/>
      <c r="O334" s="451"/>
      <c r="P334" s="451"/>
      <c r="Q334" s="451"/>
      <c r="R334" s="451"/>
      <c r="S334" s="445">
        <f t="shared" si="74"/>
        <v>0</v>
      </c>
      <c r="T334" s="451"/>
      <c r="U334" s="451"/>
      <c r="V334" s="451"/>
    </row>
    <row r="335" spans="1:22" s="441" customFormat="1" ht="45">
      <c r="A335" s="580"/>
      <c r="B335" s="570"/>
      <c r="C335" s="589">
        <v>4750</v>
      </c>
      <c r="D335" s="450" t="s">
        <v>239</v>
      </c>
      <c r="E335" s="502">
        <f t="shared" si="70"/>
        <v>5564</v>
      </c>
      <c r="F335" s="445">
        <f t="shared" si="71"/>
        <v>5564</v>
      </c>
      <c r="G335" s="445">
        <f t="shared" si="72"/>
        <v>5564</v>
      </c>
      <c r="H335" s="451">
        <v>5564</v>
      </c>
      <c r="I335" s="445">
        <f t="shared" si="73"/>
        <v>0</v>
      </c>
      <c r="J335" s="451"/>
      <c r="K335" s="451"/>
      <c r="L335" s="451"/>
      <c r="M335" s="451"/>
      <c r="N335" s="451"/>
      <c r="O335" s="451"/>
      <c r="P335" s="451"/>
      <c r="Q335" s="451"/>
      <c r="R335" s="451"/>
      <c r="S335" s="445">
        <f t="shared" si="74"/>
        <v>0</v>
      </c>
      <c r="T335" s="451"/>
      <c r="U335" s="451"/>
      <c r="V335" s="451"/>
    </row>
    <row r="336" spans="1:22" s="441" customFormat="1" ht="45" customHeight="1" hidden="1">
      <c r="A336" s="580"/>
      <c r="B336" s="570"/>
      <c r="C336" s="589">
        <v>6060</v>
      </c>
      <c r="D336" s="450" t="s">
        <v>387</v>
      </c>
      <c r="E336" s="502">
        <f t="shared" si="70"/>
        <v>0</v>
      </c>
      <c r="F336" s="445">
        <f t="shared" si="71"/>
        <v>0</v>
      </c>
      <c r="G336" s="445">
        <f t="shared" si="72"/>
        <v>0</v>
      </c>
      <c r="H336" s="451"/>
      <c r="I336" s="445">
        <f t="shared" si="73"/>
        <v>0</v>
      </c>
      <c r="J336" s="451"/>
      <c r="K336" s="451"/>
      <c r="L336" s="451"/>
      <c r="M336" s="451"/>
      <c r="N336" s="451"/>
      <c r="O336" s="451"/>
      <c r="P336" s="451"/>
      <c r="Q336" s="451"/>
      <c r="R336" s="451"/>
      <c r="S336" s="445">
        <f t="shared" si="74"/>
        <v>0</v>
      </c>
      <c r="T336" s="451"/>
      <c r="U336" s="451"/>
      <c r="V336" s="451"/>
    </row>
    <row r="337" spans="1:22" s="449" customFormat="1" ht="31.5">
      <c r="A337" s="579"/>
      <c r="B337" s="571">
        <v>80134</v>
      </c>
      <c r="C337" s="588"/>
      <c r="D337" s="262" t="s">
        <v>249</v>
      </c>
      <c r="E337" s="502">
        <f t="shared" si="70"/>
        <v>473769</v>
      </c>
      <c r="F337" s="445">
        <f t="shared" si="71"/>
        <v>473769</v>
      </c>
      <c r="G337" s="445">
        <f t="shared" si="72"/>
        <v>472579</v>
      </c>
      <c r="H337" s="448">
        <f>SUM(H338:H343)</f>
        <v>15973</v>
      </c>
      <c r="I337" s="445">
        <f t="shared" si="73"/>
        <v>456606</v>
      </c>
      <c r="J337" s="448">
        <f>SUM(J338:J343)</f>
        <v>362197</v>
      </c>
      <c r="K337" s="448">
        <f aca="true" t="shared" si="76" ref="K337:R337">SUM(K338:K343)</f>
        <v>26585</v>
      </c>
      <c r="L337" s="448">
        <f t="shared" si="76"/>
        <v>67824</v>
      </c>
      <c r="M337" s="448">
        <f t="shared" si="76"/>
        <v>0</v>
      </c>
      <c r="N337" s="448">
        <f t="shared" si="76"/>
        <v>1190</v>
      </c>
      <c r="O337" s="448">
        <f t="shared" si="76"/>
        <v>0</v>
      </c>
      <c r="P337" s="448">
        <f>SUM(P338:P343)</f>
        <v>0</v>
      </c>
      <c r="Q337" s="448">
        <f t="shared" si="76"/>
        <v>0</v>
      </c>
      <c r="R337" s="448">
        <f t="shared" si="76"/>
        <v>0</v>
      </c>
      <c r="S337" s="445">
        <f t="shared" si="74"/>
        <v>0</v>
      </c>
      <c r="T337" s="448">
        <f>SUM(T338:T343)</f>
        <v>0</v>
      </c>
      <c r="U337" s="448">
        <f>SUM(U338:U343)</f>
        <v>0</v>
      </c>
      <c r="V337" s="448">
        <f>SUM(V338:V343)</f>
        <v>0</v>
      </c>
    </row>
    <row r="338" spans="1:22" s="441" customFormat="1" ht="45">
      <c r="A338" s="580"/>
      <c r="B338" s="570"/>
      <c r="C338" s="589">
        <v>3020</v>
      </c>
      <c r="D338" s="450" t="s">
        <v>386</v>
      </c>
      <c r="E338" s="502">
        <f t="shared" si="70"/>
        <v>1190</v>
      </c>
      <c r="F338" s="445">
        <f t="shared" si="71"/>
        <v>1190</v>
      </c>
      <c r="G338" s="445">
        <f t="shared" si="72"/>
        <v>0</v>
      </c>
      <c r="H338" s="451"/>
      <c r="I338" s="445">
        <f t="shared" si="73"/>
        <v>0</v>
      </c>
      <c r="J338" s="451"/>
      <c r="K338" s="451"/>
      <c r="L338" s="451"/>
      <c r="M338" s="451"/>
      <c r="N338" s="451">
        <v>1190</v>
      </c>
      <c r="O338" s="451"/>
      <c r="P338" s="451"/>
      <c r="Q338" s="451"/>
      <c r="R338" s="451"/>
      <c r="S338" s="445">
        <f t="shared" si="74"/>
        <v>0</v>
      </c>
      <c r="T338" s="451"/>
      <c r="U338" s="451"/>
      <c r="V338" s="451"/>
    </row>
    <row r="339" spans="1:22" s="441" customFormat="1" ht="30">
      <c r="A339" s="580"/>
      <c r="B339" s="570"/>
      <c r="C339" s="589">
        <v>4010</v>
      </c>
      <c r="D339" s="450" t="s">
        <v>102</v>
      </c>
      <c r="E339" s="502">
        <f t="shared" si="70"/>
        <v>362197</v>
      </c>
      <c r="F339" s="445">
        <f t="shared" si="71"/>
        <v>362197</v>
      </c>
      <c r="G339" s="445">
        <f t="shared" si="72"/>
        <v>362197</v>
      </c>
      <c r="H339" s="451"/>
      <c r="I339" s="445">
        <f t="shared" si="73"/>
        <v>362197</v>
      </c>
      <c r="J339" s="451">
        <v>362197</v>
      </c>
      <c r="K339" s="451"/>
      <c r="L339" s="451"/>
      <c r="M339" s="451"/>
      <c r="N339" s="451"/>
      <c r="O339" s="451"/>
      <c r="P339" s="451"/>
      <c r="Q339" s="451"/>
      <c r="R339" s="451"/>
      <c r="S339" s="445">
        <f t="shared" si="74"/>
        <v>0</v>
      </c>
      <c r="T339" s="451"/>
      <c r="U339" s="451"/>
      <c r="V339" s="451"/>
    </row>
    <row r="340" spans="1:22" s="441" customFormat="1" ht="39.75" customHeight="1">
      <c r="A340" s="580"/>
      <c r="B340" s="570"/>
      <c r="C340" s="589">
        <v>4040</v>
      </c>
      <c r="D340" s="450" t="s">
        <v>103</v>
      </c>
      <c r="E340" s="502">
        <f t="shared" si="70"/>
        <v>26585</v>
      </c>
      <c r="F340" s="445">
        <f t="shared" si="71"/>
        <v>26585</v>
      </c>
      <c r="G340" s="445">
        <f t="shared" si="72"/>
        <v>26585</v>
      </c>
      <c r="H340" s="451"/>
      <c r="I340" s="445">
        <f t="shared" si="73"/>
        <v>26585</v>
      </c>
      <c r="J340" s="451"/>
      <c r="K340" s="451">
        <v>26585</v>
      </c>
      <c r="L340" s="451"/>
      <c r="M340" s="451"/>
      <c r="N340" s="451"/>
      <c r="O340" s="451"/>
      <c r="P340" s="451"/>
      <c r="Q340" s="451"/>
      <c r="R340" s="451"/>
      <c r="S340" s="445">
        <f t="shared" si="74"/>
        <v>0</v>
      </c>
      <c r="T340" s="451"/>
      <c r="U340" s="451"/>
      <c r="V340" s="451"/>
    </row>
    <row r="341" spans="1:22" s="441" customFormat="1" ht="32.25" customHeight="1">
      <c r="A341" s="580"/>
      <c r="B341" s="570"/>
      <c r="C341" s="589">
        <v>4110</v>
      </c>
      <c r="D341" s="450" t="s">
        <v>234</v>
      </c>
      <c r="E341" s="502">
        <f t="shared" si="70"/>
        <v>58445</v>
      </c>
      <c r="F341" s="445">
        <f t="shared" si="71"/>
        <v>58445</v>
      </c>
      <c r="G341" s="445">
        <f t="shared" si="72"/>
        <v>58445</v>
      </c>
      <c r="H341" s="451"/>
      <c r="I341" s="445">
        <f t="shared" si="73"/>
        <v>58445</v>
      </c>
      <c r="J341" s="451"/>
      <c r="K341" s="451"/>
      <c r="L341" s="451">
        <v>58445</v>
      </c>
      <c r="M341" s="451"/>
      <c r="N341" s="451"/>
      <c r="O341" s="451"/>
      <c r="P341" s="451"/>
      <c r="Q341" s="451"/>
      <c r="R341" s="451"/>
      <c r="S341" s="445">
        <f t="shared" si="74"/>
        <v>0</v>
      </c>
      <c r="T341" s="451"/>
      <c r="U341" s="451"/>
      <c r="V341" s="451"/>
    </row>
    <row r="342" spans="1:22" s="441" customFormat="1" ht="35.25" customHeight="1">
      <c r="A342" s="580"/>
      <c r="B342" s="570"/>
      <c r="C342" s="589">
        <v>4120</v>
      </c>
      <c r="D342" s="450" t="s">
        <v>105</v>
      </c>
      <c r="E342" s="502">
        <f t="shared" si="70"/>
        <v>9379</v>
      </c>
      <c r="F342" s="445">
        <f t="shared" si="71"/>
        <v>9379</v>
      </c>
      <c r="G342" s="445">
        <f t="shared" si="72"/>
        <v>9379</v>
      </c>
      <c r="H342" s="451"/>
      <c r="I342" s="445">
        <f t="shared" si="73"/>
        <v>9379</v>
      </c>
      <c r="J342" s="451"/>
      <c r="K342" s="451"/>
      <c r="L342" s="451">
        <v>9379</v>
      </c>
      <c r="M342" s="451"/>
      <c r="N342" s="451"/>
      <c r="O342" s="451"/>
      <c r="P342" s="451"/>
      <c r="Q342" s="451"/>
      <c r="R342" s="451"/>
      <c r="S342" s="445">
        <f t="shared" si="74"/>
        <v>0</v>
      </c>
      <c r="T342" s="451"/>
      <c r="U342" s="451"/>
      <c r="V342" s="451"/>
    </row>
    <row r="343" spans="1:22" s="441" customFormat="1" ht="45">
      <c r="A343" s="580"/>
      <c r="B343" s="570"/>
      <c r="C343" s="589">
        <v>4440</v>
      </c>
      <c r="D343" s="450" t="s">
        <v>117</v>
      </c>
      <c r="E343" s="502">
        <f t="shared" si="70"/>
        <v>15973</v>
      </c>
      <c r="F343" s="445">
        <f t="shared" si="71"/>
        <v>15973</v>
      </c>
      <c r="G343" s="445">
        <f t="shared" si="72"/>
        <v>15973</v>
      </c>
      <c r="H343" s="451">
        <v>15973</v>
      </c>
      <c r="I343" s="445">
        <f t="shared" si="73"/>
        <v>0</v>
      </c>
      <c r="J343" s="451"/>
      <c r="K343" s="451"/>
      <c r="L343" s="451"/>
      <c r="M343" s="451"/>
      <c r="N343" s="451"/>
      <c r="O343" s="451"/>
      <c r="P343" s="451"/>
      <c r="Q343" s="451"/>
      <c r="R343" s="451"/>
      <c r="S343" s="445">
        <f t="shared" si="74"/>
        <v>0</v>
      </c>
      <c r="T343" s="451"/>
      <c r="U343" s="451"/>
      <c r="V343" s="451"/>
    </row>
    <row r="344" spans="1:22" s="449" customFormat="1" ht="47.25">
      <c r="A344" s="581"/>
      <c r="B344" s="571">
        <v>80146</v>
      </c>
      <c r="C344" s="588"/>
      <c r="D344" s="262" t="s">
        <v>250</v>
      </c>
      <c r="E344" s="502">
        <f t="shared" si="70"/>
        <v>78420</v>
      </c>
      <c r="F344" s="445">
        <f t="shared" si="71"/>
        <v>78420</v>
      </c>
      <c r="G344" s="445">
        <f t="shared" si="72"/>
        <v>71070</v>
      </c>
      <c r="H344" s="448">
        <f>SUM(H345:H348)</f>
        <v>66864</v>
      </c>
      <c r="I344" s="445">
        <f t="shared" si="73"/>
        <v>4206</v>
      </c>
      <c r="J344" s="448">
        <f aca="true" t="shared" si="77" ref="J344:R344">SUM(J345:J348)</f>
        <v>0</v>
      </c>
      <c r="K344" s="448">
        <f t="shared" si="77"/>
        <v>0</v>
      </c>
      <c r="L344" s="448">
        <f t="shared" si="77"/>
        <v>0</v>
      </c>
      <c r="M344" s="448">
        <f t="shared" si="77"/>
        <v>4206</v>
      </c>
      <c r="N344" s="448">
        <f t="shared" si="77"/>
        <v>0</v>
      </c>
      <c r="O344" s="448">
        <f t="shared" si="77"/>
        <v>7350</v>
      </c>
      <c r="P344" s="448">
        <f>SUM(P345:P348)</f>
        <v>0</v>
      </c>
      <c r="Q344" s="448">
        <f t="shared" si="77"/>
        <v>0</v>
      </c>
      <c r="R344" s="448">
        <f t="shared" si="77"/>
        <v>0</v>
      </c>
      <c r="S344" s="445">
        <f t="shared" si="74"/>
        <v>0</v>
      </c>
      <c r="T344" s="448">
        <f>SUM(T345:T348)</f>
        <v>0</v>
      </c>
      <c r="U344" s="448">
        <f>SUM(U345:U348)</f>
        <v>0</v>
      </c>
      <c r="V344" s="448">
        <f>SUM(V345:V348)</f>
        <v>0</v>
      </c>
    </row>
    <row r="345" spans="1:22" s="441" customFormat="1" ht="110.25" customHeight="1">
      <c r="A345" s="580"/>
      <c r="B345" s="570"/>
      <c r="C345" s="589">
        <v>2310</v>
      </c>
      <c r="D345" s="450" t="s">
        <v>254</v>
      </c>
      <c r="E345" s="502">
        <f t="shared" si="70"/>
        <v>7350</v>
      </c>
      <c r="F345" s="445">
        <f t="shared" si="71"/>
        <v>7350</v>
      </c>
      <c r="G345" s="445">
        <f t="shared" si="72"/>
        <v>0</v>
      </c>
      <c r="H345" s="451">
        <v>0</v>
      </c>
      <c r="I345" s="445">
        <f t="shared" si="73"/>
        <v>0</v>
      </c>
      <c r="J345" s="451"/>
      <c r="K345" s="451"/>
      <c r="L345" s="451"/>
      <c r="M345" s="451"/>
      <c r="N345" s="451"/>
      <c r="O345" s="451">
        <v>7350</v>
      </c>
      <c r="P345" s="451"/>
      <c r="Q345" s="451"/>
      <c r="R345" s="451"/>
      <c r="S345" s="445">
        <f t="shared" si="74"/>
        <v>0</v>
      </c>
      <c r="T345" s="451"/>
      <c r="U345" s="451"/>
      <c r="V345" s="451"/>
    </row>
    <row r="346" spans="1:22" s="441" customFormat="1" ht="30">
      <c r="A346" s="580"/>
      <c r="B346" s="570"/>
      <c r="C346" s="589">
        <v>4170</v>
      </c>
      <c r="D346" s="450" t="s">
        <v>219</v>
      </c>
      <c r="E346" s="502">
        <f t="shared" si="70"/>
        <v>4206</v>
      </c>
      <c r="F346" s="445">
        <f t="shared" si="71"/>
        <v>4206</v>
      </c>
      <c r="G346" s="445">
        <f t="shared" si="72"/>
        <v>4206</v>
      </c>
      <c r="H346" s="451"/>
      <c r="I346" s="445">
        <f t="shared" si="73"/>
        <v>4206</v>
      </c>
      <c r="J346" s="451"/>
      <c r="K346" s="451"/>
      <c r="L346" s="451"/>
      <c r="M346" s="451">
        <v>4206</v>
      </c>
      <c r="N346" s="451"/>
      <c r="O346" s="451"/>
      <c r="P346" s="451"/>
      <c r="Q346" s="451"/>
      <c r="R346" s="451"/>
      <c r="S346" s="445">
        <f t="shared" si="74"/>
        <v>0</v>
      </c>
      <c r="T346" s="451"/>
      <c r="U346" s="451"/>
      <c r="V346" s="451"/>
    </row>
    <row r="347" spans="1:22" s="441" customFormat="1" ht="30.75" customHeight="1">
      <c r="A347" s="580"/>
      <c r="B347" s="570"/>
      <c r="C347" s="589">
        <v>4300</v>
      </c>
      <c r="D347" s="450" t="s">
        <v>207</v>
      </c>
      <c r="E347" s="502">
        <f t="shared" si="70"/>
        <v>55194</v>
      </c>
      <c r="F347" s="445">
        <f t="shared" si="71"/>
        <v>55194</v>
      </c>
      <c r="G347" s="445">
        <f t="shared" si="72"/>
        <v>55194</v>
      </c>
      <c r="H347" s="451">
        <v>55194</v>
      </c>
      <c r="I347" s="445">
        <f t="shared" si="73"/>
        <v>0</v>
      </c>
      <c r="J347" s="451"/>
      <c r="K347" s="451"/>
      <c r="L347" s="451"/>
      <c r="M347" s="451"/>
      <c r="N347" s="451"/>
      <c r="O347" s="451"/>
      <c r="P347" s="451"/>
      <c r="Q347" s="451"/>
      <c r="R347" s="451"/>
      <c r="S347" s="445">
        <f t="shared" si="74"/>
        <v>0</v>
      </c>
      <c r="T347" s="451"/>
      <c r="U347" s="451"/>
      <c r="V347" s="451"/>
    </row>
    <row r="348" spans="1:22" s="441" customFormat="1" ht="30">
      <c r="A348" s="580"/>
      <c r="B348" s="570"/>
      <c r="C348" s="589">
        <v>4410</v>
      </c>
      <c r="D348" s="450" t="s">
        <v>115</v>
      </c>
      <c r="E348" s="502">
        <f t="shared" si="70"/>
        <v>11670</v>
      </c>
      <c r="F348" s="445">
        <f t="shared" si="71"/>
        <v>11670</v>
      </c>
      <c r="G348" s="445">
        <f t="shared" si="72"/>
        <v>11670</v>
      </c>
      <c r="H348" s="451">
        <v>11670</v>
      </c>
      <c r="I348" s="445">
        <f t="shared" si="73"/>
        <v>0</v>
      </c>
      <c r="J348" s="451"/>
      <c r="K348" s="451"/>
      <c r="L348" s="451"/>
      <c r="M348" s="451"/>
      <c r="N348" s="451"/>
      <c r="O348" s="451"/>
      <c r="P348" s="451"/>
      <c r="Q348" s="451"/>
      <c r="R348" s="451"/>
      <c r="S348" s="445">
        <f t="shared" si="74"/>
        <v>0</v>
      </c>
      <c r="T348" s="451"/>
      <c r="U348" s="451"/>
      <c r="V348" s="451"/>
    </row>
    <row r="349" spans="1:22" s="441" customFormat="1" ht="15.75">
      <c r="A349" s="580"/>
      <c r="B349" s="571">
        <v>80148</v>
      </c>
      <c r="C349" s="589"/>
      <c r="D349" s="262" t="s">
        <v>252</v>
      </c>
      <c r="E349" s="502">
        <f t="shared" si="70"/>
        <v>400209</v>
      </c>
      <c r="F349" s="445">
        <f t="shared" si="71"/>
        <v>400209</v>
      </c>
      <c r="G349" s="445">
        <f t="shared" si="72"/>
        <v>395559</v>
      </c>
      <c r="H349" s="448">
        <f>SUM(H350:H361)</f>
        <v>111588</v>
      </c>
      <c r="I349" s="445">
        <f t="shared" si="73"/>
        <v>283971</v>
      </c>
      <c r="J349" s="448">
        <f aca="true" t="shared" si="78" ref="J349:R349">SUM(J350:J361)</f>
        <v>226333</v>
      </c>
      <c r="K349" s="448">
        <f t="shared" si="78"/>
        <v>16416</v>
      </c>
      <c r="L349" s="448">
        <f t="shared" si="78"/>
        <v>41222</v>
      </c>
      <c r="M349" s="448">
        <f t="shared" si="78"/>
        <v>0</v>
      </c>
      <c r="N349" s="448">
        <f t="shared" si="78"/>
        <v>4650</v>
      </c>
      <c r="O349" s="448">
        <f t="shared" si="78"/>
        <v>0</v>
      </c>
      <c r="P349" s="448">
        <f>SUM(P350:P361)</f>
        <v>0</v>
      </c>
      <c r="Q349" s="448">
        <f t="shared" si="78"/>
        <v>0</v>
      </c>
      <c r="R349" s="448">
        <f t="shared" si="78"/>
        <v>0</v>
      </c>
      <c r="S349" s="445">
        <f t="shared" si="74"/>
        <v>0</v>
      </c>
      <c r="T349" s="448">
        <f>SUM(T350:T361)</f>
        <v>0</v>
      </c>
      <c r="U349" s="448">
        <f>SUM(U350:U361)</f>
        <v>0</v>
      </c>
      <c r="V349" s="448">
        <f>SUM(V350:V361)</f>
        <v>0</v>
      </c>
    </row>
    <row r="350" spans="1:22" s="441" customFormat="1" ht="45">
      <c r="A350" s="580"/>
      <c r="B350" s="570"/>
      <c r="C350" s="589">
        <v>3020</v>
      </c>
      <c r="D350" s="450" t="s">
        <v>386</v>
      </c>
      <c r="E350" s="502">
        <f t="shared" si="70"/>
        <v>4650</v>
      </c>
      <c r="F350" s="445">
        <f t="shared" si="71"/>
        <v>4650</v>
      </c>
      <c r="G350" s="445">
        <f t="shared" si="72"/>
        <v>0</v>
      </c>
      <c r="H350" s="451"/>
      <c r="I350" s="445">
        <f t="shared" si="73"/>
        <v>0</v>
      </c>
      <c r="J350" s="451"/>
      <c r="K350" s="451"/>
      <c r="L350" s="451"/>
      <c r="M350" s="451"/>
      <c r="N350" s="451">
        <v>4650</v>
      </c>
      <c r="O350" s="451"/>
      <c r="P350" s="451"/>
      <c r="Q350" s="451"/>
      <c r="R350" s="451"/>
      <c r="S350" s="445">
        <f t="shared" si="74"/>
        <v>0</v>
      </c>
      <c r="T350" s="451"/>
      <c r="U350" s="451"/>
      <c r="V350" s="451"/>
    </row>
    <row r="351" spans="1:22" s="441" customFormat="1" ht="34.5" customHeight="1">
      <c r="A351" s="580"/>
      <c r="B351" s="570"/>
      <c r="C351" s="589">
        <v>4010</v>
      </c>
      <c r="D351" s="450" t="s">
        <v>102</v>
      </c>
      <c r="E351" s="502">
        <f t="shared" si="70"/>
        <v>226333</v>
      </c>
      <c r="F351" s="445">
        <f t="shared" si="71"/>
        <v>226333</v>
      </c>
      <c r="G351" s="445">
        <f t="shared" si="72"/>
        <v>226333</v>
      </c>
      <c r="H351" s="451"/>
      <c r="I351" s="445">
        <f t="shared" si="73"/>
        <v>226333</v>
      </c>
      <c r="J351" s="451">
        <v>226333</v>
      </c>
      <c r="K351" s="451"/>
      <c r="L351" s="451"/>
      <c r="M351" s="451"/>
      <c r="N351" s="451"/>
      <c r="O351" s="451"/>
      <c r="P351" s="451"/>
      <c r="Q351" s="451"/>
      <c r="R351" s="451"/>
      <c r="S351" s="445">
        <f t="shared" si="74"/>
        <v>0</v>
      </c>
      <c r="T351" s="451"/>
      <c r="U351" s="451"/>
      <c r="V351" s="451"/>
    </row>
    <row r="352" spans="1:22" s="441" customFormat="1" ht="31.5" customHeight="1">
      <c r="A352" s="580"/>
      <c r="B352" s="570"/>
      <c r="C352" s="589">
        <v>4040</v>
      </c>
      <c r="D352" s="450" t="s">
        <v>103</v>
      </c>
      <c r="E352" s="502">
        <f t="shared" si="70"/>
        <v>16416</v>
      </c>
      <c r="F352" s="445">
        <f t="shared" si="71"/>
        <v>16416</v>
      </c>
      <c r="G352" s="445">
        <f t="shared" si="72"/>
        <v>16416</v>
      </c>
      <c r="H352" s="451"/>
      <c r="I352" s="445">
        <f t="shared" si="73"/>
        <v>16416</v>
      </c>
      <c r="J352" s="451"/>
      <c r="K352" s="451">
        <v>16416</v>
      </c>
      <c r="L352" s="451"/>
      <c r="M352" s="451"/>
      <c r="N352" s="451"/>
      <c r="O352" s="451"/>
      <c r="P352" s="451"/>
      <c r="Q352" s="451"/>
      <c r="R352" s="451"/>
      <c r="S352" s="445">
        <f t="shared" si="74"/>
        <v>0</v>
      </c>
      <c r="T352" s="451"/>
      <c r="U352" s="451"/>
      <c r="V352" s="451"/>
    </row>
    <row r="353" spans="1:22" s="441" customFormat="1" ht="35.25" customHeight="1">
      <c r="A353" s="580"/>
      <c r="B353" s="570"/>
      <c r="C353" s="589">
        <v>4110</v>
      </c>
      <c r="D353" s="450" t="s">
        <v>234</v>
      </c>
      <c r="E353" s="502">
        <f t="shared" si="70"/>
        <v>35645</v>
      </c>
      <c r="F353" s="445">
        <f t="shared" si="71"/>
        <v>35645</v>
      </c>
      <c r="G353" s="445">
        <f t="shared" si="72"/>
        <v>35645</v>
      </c>
      <c r="H353" s="451"/>
      <c r="I353" s="445">
        <f t="shared" si="73"/>
        <v>35645</v>
      </c>
      <c r="J353" s="451"/>
      <c r="K353" s="451"/>
      <c r="L353" s="451">
        <v>35645</v>
      </c>
      <c r="M353" s="451"/>
      <c r="N353" s="451"/>
      <c r="O353" s="451"/>
      <c r="P353" s="451"/>
      <c r="Q353" s="451"/>
      <c r="R353" s="451"/>
      <c r="S353" s="445">
        <f t="shared" si="74"/>
        <v>0</v>
      </c>
      <c r="T353" s="451"/>
      <c r="U353" s="451"/>
      <c r="V353" s="451"/>
    </row>
    <row r="354" spans="1:22" s="441" customFormat="1" ht="30">
      <c r="A354" s="580"/>
      <c r="B354" s="570"/>
      <c r="C354" s="589">
        <v>4120</v>
      </c>
      <c r="D354" s="450" t="s">
        <v>105</v>
      </c>
      <c r="E354" s="502">
        <f t="shared" si="70"/>
        <v>5577</v>
      </c>
      <c r="F354" s="445">
        <f t="shared" si="71"/>
        <v>5577</v>
      </c>
      <c r="G354" s="445">
        <f t="shared" si="72"/>
        <v>5577</v>
      </c>
      <c r="H354" s="451"/>
      <c r="I354" s="445">
        <f t="shared" si="73"/>
        <v>5577</v>
      </c>
      <c r="J354" s="451"/>
      <c r="K354" s="451"/>
      <c r="L354" s="451">
        <v>5577</v>
      </c>
      <c r="M354" s="451"/>
      <c r="N354" s="451"/>
      <c r="O354" s="451"/>
      <c r="P354" s="451"/>
      <c r="Q354" s="451"/>
      <c r="R354" s="451"/>
      <c r="S354" s="445">
        <f t="shared" si="74"/>
        <v>0</v>
      </c>
      <c r="T354" s="451"/>
      <c r="U354" s="451"/>
      <c r="V354" s="451"/>
    </row>
    <row r="355" spans="1:22" s="441" customFormat="1" ht="38.25" customHeight="1">
      <c r="A355" s="580"/>
      <c r="B355" s="570"/>
      <c r="C355" s="589">
        <v>4210</v>
      </c>
      <c r="D355" s="450" t="s">
        <v>107</v>
      </c>
      <c r="E355" s="502">
        <f t="shared" si="70"/>
        <v>73690</v>
      </c>
      <c r="F355" s="445">
        <f t="shared" si="71"/>
        <v>73690</v>
      </c>
      <c r="G355" s="445">
        <f t="shared" si="72"/>
        <v>73690</v>
      </c>
      <c r="H355" s="451">
        <v>73690</v>
      </c>
      <c r="I355" s="445">
        <f t="shared" si="73"/>
        <v>0</v>
      </c>
      <c r="J355" s="451"/>
      <c r="K355" s="451"/>
      <c r="L355" s="451"/>
      <c r="M355" s="451"/>
      <c r="N355" s="451"/>
      <c r="O355" s="451"/>
      <c r="P355" s="451"/>
      <c r="Q355" s="451"/>
      <c r="R355" s="451"/>
      <c r="S355" s="445">
        <f t="shared" si="74"/>
        <v>0</v>
      </c>
      <c r="T355" s="451"/>
      <c r="U355" s="451"/>
      <c r="V355" s="451"/>
    </row>
    <row r="356" spans="1:22" s="441" customFormat="1" ht="15.75">
      <c r="A356" s="580"/>
      <c r="B356" s="570"/>
      <c r="C356" s="589">
        <v>4260</v>
      </c>
      <c r="D356" s="450" t="s">
        <v>108</v>
      </c>
      <c r="E356" s="502">
        <f t="shared" si="70"/>
        <v>23370</v>
      </c>
      <c r="F356" s="445">
        <f t="shared" si="71"/>
        <v>23370</v>
      </c>
      <c r="G356" s="445">
        <f t="shared" si="72"/>
        <v>23370</v>
      </c>
      <c r="H356" s="451">
        <v>23370</v>
      </c>
      <c r="I356" s="445">
        <f t="shared" si="73"/>
        <v>0</v>
      </c>
      <c r="J356" s="451"/>
      <c r="K356" s="451"/>
      <c r="L356" s="451"/>
      <c r="M356" s="451"/>
      <c r="N356" s="451"/>
      <c r="O356" s="451"/>
      <c r="P356" s="451"/>
      <c r="Q356" s="451"/>
      <c r="R356" s="451"/>
      <c r="S356" s="445">
        <f t="shared" si="74"/>
        <v>0</v>
      </c>
      <c r="T356" s="451"/>
      <c r="U356" s="451"/>
      <c r="V356" s="451"/>
    </row>
    <row r="357" spans="1:22" s="441" customFormat="1" ht="30">
      <c r="A357" s="580"/>
      <c r="B357" s="570"/>
      <c r="C357" s="589">
        <v>4270</v>
      </c>
      <c r="D357" s="450" t="s">
        <v>109</v>
      </c>
      <c r="E357" s="502">
        <f t="shared" si="70"/>
        <v>590</v>
      </c>
      <c r="F357" s="445">
        <f t="shared" si="71"/>
        <v>590</v>
      </c>
      <c r="G357" s="445">
        <f t="shared" si="72"/>
        <v>590</v>
      </c>
      <c r="H357" s="451">
        <v>590</v>
      </c>
      <c r="I357" s="445">
        <f t="shared" si="73"/>
        <v>0</v>
      </c>
      <c r="J357" s="451"/>
      <c r="K357" s="451"/>
      <c r="L357" s="451"/>
      <c r="M357" s="451"/>
      <c r="N357" s="451"/>
      <c r="O357" s="451"/>
      <c r="P357" s="451"/>
      <c r="Q357" s="451"/>
      <c r="R357" s="451"/>
      <c r="S357" s="445">
        <f t="shared" si="74"/>
        <v>0</v>
      </c>
      <c r="T357" s="451"/>
      <c r="U357" s="451"/>
      <c r="V357" s="451"/>
    </row>
    <row r="358" spans="1:22" s="441" customFormat="1" ht="42.75" customHeight="1">
      <c r="A358" s="580"/>
      <c r="B358" s="570"/>
      <c r="C358" s="589">
        <v>4280</v>
      </c>
      <c r="D358" s="450" t="s">
        <v>110</v>
      </c>
      <c r="E358" s="502">
        <f t="shared" si="70"/>
        <v>270</v>
      </c>
      <c r="F358" s="445">
        <f t="shared" si="71"/>
        <v>270</v>
      </c>
      <c r="G358" s="445">
        <f t="shared" si="72"/>
        <v>270</v>
      </c>
      <c r="H358" s="451">
        <v>270</v>
      </c>
      <c r="I358" s="445">
        <f t="shared" si="73"/>
        <v>0</v>
      </c>
      <c r="J358" s="451"/>
      <c r="K358" s="451"/>
      <c r="L358" s="451"/>
      <c r="M358" s="451"/>
      <c r="N358" s="451"/>
      <c r="O358" s="451"/>
      <c r="P358" s="451"/>
      <c r="Q358" s="451"/>
      <c r="R358" s="451"/>
      <c r="S358" s="445">
        <f t="shared" si="74"/>
        <v>0</v>
      </c>
      <c r="T358" s="451"/>
      <c r="U358" s="451"/>
      <c r="V358" s="451"/>
    </row>
    <row r="359" spans="1:22" s="441" customFormat="1" ht="36" customHeight="1">
      <c r="A359" s="580"/>
      <c r="B359" s="570"/>
      <c r="C359" s="589">
        <v>4300</v>
      </c>
      <c r="D359" s="450" t="s">
        <v>207</v>
      </c>
      <c r="E359" s="502">
        <f t="shared" si="70"/>
        <v>3190</v>
      </c>
      <c r="F359" s="445">
        <f t="shared" si="71"/>
        <v>3190</v>
      </c>
      <c r="G359" s="445">
        <f t="shared" si="72"/>
        <v>3190</v>
      </c>
      <c r="H359" s="451">
        <v>3190</v>
      </c>
      <c r="I359" s="445">
        <f t="shared" si="73"/>
        <v>0</v>
      </c>
      <c r="J359" s="451"/>
      <c r="K359" s="451"/>
      <c r="L359" s="451"/>
      <c r="M359" s="451"/>
      <c r="N359" s="451"/>
      <c r="O359" s="451"/>
      <c r="P359" s="451"/>
      <c r="Q359" s="451"/>
      <c r="R359" s="451"/>
      <c r="S359" s="445">
        <f t="shared" si="74"/>
        <v>0</v>
      </c>
      <c r="T359" s="451"/>
      <c r="U359" s="451"/>
      <c r="V359" s="451"/>
    </row>
    <row r="360" spans="1:22" s="441" customFormat="1" ht="45">
      <c r="A360" s="580"/>
      <c r="B360" s="570"/>
      <c r="C360" s="589">
        <v>4440</v>
      </c>
      <c r="D360" s="450" t="s">
        <v>117</v>
      </c>
      <c r="E360" s="502">
        <f t="shared" si="70"/>
        <v>10478</v>
      </c>
      <c r="F360" s="445">
        <f t="shared" si="71"/>
        <v>10478</v>
      </c>
      <c r="G360" s="445">
        <f t="shared" si="72"/>
        <v>10478</v>
      </c>
      <c r="H360" s="451">
        <v>10478</v>
      </c>
      <c r="I360" s="445">
        <f t="shared" si="73"/>
        <v>0</v>
      </c>
      <c r="J360" s="451"/>
      <c r="K360" s="451"/>
      <c r="L360" s="451"/>
      <c r="M360" s="451"/>
      <c r="N360" s="451"/>
      <c r="O360" s="451"/>
      <c r="P360" s="451"/>
      <c r="Q360" s="451"/>
      <c r="R360" s="451"/>
      <c r="S360" s="445">
        <f t="shared" si="74"/>
        <v>0</v>
      </c>
      <c r="T360" s="451"/>
      <c r="U360" s="451"/>
      <c r="V360" s="451"/>
    </row>
    <row r="361" spans="1:22" s="441" customFormat="1" ht="45" customHeight="1" hidden="1">
      <c r="A361" s="580"/>
      <c r="B361" s="570"/>
      <c r="C361" s="589">
        <v>6060</v>
      </c>
      <c r="D361" s="450" t="s">
        <v>387</v>
      </c>
      <c r="E361" s="502">
        <f t="shared" si="70"/>
        <v>0</v>
      </c>
      <c r="F361" s="445">
        <f t="shared" si="71"/>
        <v>0</v>
      </c>
      <c r="G361" s="445">
        <f t="shared" si="72"/>
        <v>0</v>
      </c>
      <c r="H361" s="451"/>
      <c r="I361" s="445">
        <f t="shared" si="73"/>
        <v>0</v>
      </c>
      <c r="J361" s="451"/>
      <c r="K361" s="451"/>
      <c r="L361" s="451"/>
      <c r="M361" s="451"/>
      <c r="N361" s="451"/>
      <c r="O361" s="451"/>
      <c r="P361" s="451"/>
      <c r="Q361" s="451"/>
      <c r="R361" s="451"/>
      <c r="S361" s="445">
        <f t="shared" si="74"/>
        <v>0</v>
      </c>
      <c r="T361" s="451"/>
      <c r="U361" s="451"/>
      <c r="V361" s="451"/>
    </row>
    <row r="362" spans="1:22" s="449" customFormat="1" ht="15.75">
      <c r="A362" s="579"/>
      <c r="B362" s="571">
        <v>80195</v>
      </c>
      <c r="C362" s="588"/>
      <c r="D362" s="262" t="s">
        <v>224</v>
      </c>
      <c r="E362" s="502">
        <f t="shared" si="70"/>
        <v>551326</v>
      </c>
      <c r="F362" s="445">
        <f t="shared" si="71"/>
        <v>551326</v>
      </c>
      <c r="G362" s="445">
        <f t="shared" si="72"/>
        <v>549636</v>
      </c>
      <c r="H362" s="448">
        <f>SUM(H363:H410)</f>
        <v>210814</v>
      </c>
      <c r="I362" s="445">
        <f t="shared" si="73"/>
        <v>338822</v>
      </c>
      <c r="J362" s="448">
        <f>SUM(J363:J410)</f>
        <v>258257</v>
      </c>
      <c r="K362" s="448">
        <f aca="true" t="shared" si="79" ref="K362:Q362">SUM(K363:K410)</f>
        <v>17291</v>
      </c>
      <c r="L362" s="448">
        <f t="shared" si="79"/>
        <v>47013</v>
      </c>
      <c r="M362" s="448">
        <f t="shared" si="79"/>
        <v>16261</v>
      </c>
      <c r="N362" s="448">
        <f t="shared" si="79"/>
        <v>1690</v>
      </c>
      <c r="O362" s="448">
        <f t="shared" si="79"/>
        <v>0</v>
      </c>
      <c r="P362" s="448">
        <f>SUM(P363:P410)</f>
        <v>0</v>
      </c>
      <c r="Q362" s="448">
        <f t="shared" si="79"/>
        <v>0</v>
      </c>
      <c r="R362" s="448">
        <f>SUM(R363:R410)</f>
        <v>0</v>
      </c>
      <c r="S362" s="445">
        <f t="shared" si="74"/>
        <v>0</v>
      </c>
      <c r="T362" s="448">
        <f>SUM(T363:T410)</f>
        <v>0</v>
      </c>
      <c r="U362" s="448">
        <f>SUM(U363:U410)</f>
        <v>0</v>
      </c>
      <c r="V362" s="448">
        <f>SUM(V363:V410)</f>
        <v>0</v>
      </c>
    </row>
    <row r="363" spans="1:22" s="441" customFormat="1" ht="45">
      <c r="A363" s="580"/>
      <c r="B363" s="570"/>
      <c r="C363" s="589">
        <v>3020</v>
      </c>
      <c r="D363" s="450" t="s">
        <v>386</v>
      </c>
      <c r="E363" s="502">
        <f t="shared" si="70"/>
        <v>1690</v>
      </c>
      <c r="F363" s="445">
        <f t="shared" si="71"/>
        <v>1690</v>
      </c>
      <c r="G363" s="445">
        <f t="shared" si="72"/>
        <v>0</v>
      </c>
      <c r="H363" s="451"/>
      <c r="I363" s="445">
        <f t="shared" si="73"/>
        <v>0</v>
      </c>
      <c r="J363" s="451"/>
      <c r="K363" s="451"/>
      <c r="L363" s="451"/>
      <c r="M363" s="451"/>
      <c r="N363" s="451">
        <v>1690</v>
      </c>
      <c r="O363" s="451"/>
      <c r="P363" s="451"/>
      <c r="Q363" s="451"/>
      <c r="R363" s="451"/>
      <c r="S363" s="445">
        <f t="shared" si="74"/>
        <v>0</v>
      </c>
      <c r="T363" s="451"/>
      <c r="U363" s="451"/>
      <c r="V363" s="451"/>
    </row>
    <row r="364" spans="1:22" s="441" customFormat="1" ht="30">
      <c r="A364" s="580"/>
      <c r="B364" s="570"/>
      <c r="C364" s="589">
        <v>4010</v>
      </c>
      <c r="D364" s="450" t="s">
        <v>102</v>
      </c>
      <c r="E364" s="502">
        <f aca="true" t="shared" si="80" ref="E364:E428">F364+S364</f>
        <v>258257</v>
      </c>
      <c r="F364" s="445">
        <f t="shared" si="71"/>
        <v>258257</v>
      </c>
      <c r="G364" s="445">
        <f t="shared" si="72"/>
        <v>258257</v>
      </c>
      <c r="H364" s="451"/>
      <c r="I364" s="445">
        <f t="shared" si="73"/>
        <v>258257</v>
      </c>
      <c r="J364" s="451">
        <v>258257</v>
      </c>
      <c r="K364" s="451"/>
      <c r="L364" s="451"/>
      <c r="M364" s="451"/>
      <c r="N364" s="451"/>
      <c r="O364" s="451"/>
      <c r="P364" s="451"/>
      <c r="Q364" s="451"/>
      <c r="R364" s="451"/>
      <c r="S364" s="445">
        <f t="shared" si="74"/>
        <v>0</v>
      </c>
      <c r="T364" s="451"/>
      <c r="U364" s="451"/>
      <c r="V364" s="451"/>
    </row>
    <row r="365" spans="1:22" s="441" customFormat="1" ht="34.5" customHeight="1">
      <c r="A365" s="580"/>
      <c r="B365" s="570"/>
      <c r="C365" s="589">
        <v>4040</v>
      </c>
      <c r="D365" s="450" t="s">
        <v>103</v>
      </c>
      <c r="E365" s="502">
        <f t="shared" si="80"/>
        <v>17291</v>
      </c>
      <c r="F365" s="445">
        <f aca="true" t="shared" si="81" ref="F365:F429">G365+N365+O365+P365+Q365+R365</f>
        <v>17291</v>
      </c>
      <c r="G365" s="445">
        <f aca="true" t="shared" si="82" ref="G365:G429">H365+I365</f>
        <v>17291</v>
      </c>
      <c r="H365" s="451"/>
      <c r="I365" s="445">
        <f aca="true" t="shared" si="83" ref="I365:I429">SUM(J365:M365)</f>
        <v>17291</v>
      </c>
      <c r="J365" s="451"/>
      <c r="K365" s="451">
        <v>17291</v>
      </c>
      <c r="L365" s="451"/>
      <c r="M365" s="451"/>
      <c r="N365" s="451"/>
      <c r="O365" s="451"/>
      <c r="P365" s="451"/>
      <c r="Q365" s="451"/>
      <c r="R365" s="451"/>
      <c r="S365" s="445">
        <f aca="true" t="shared" si="84" ref="S365:S429">T365+V365</f>
        <v>0</v>
      </c>
      <c r="T365" s="451"/>
      <c r="U365" s="451"/>
      <c r="V365" s="451"/>
    </row>
    <row r="366" spans="1:22" s="441" customFormat="1" ht="30.75" customHeight="1">
      <c r="A366" s="580"/>
      <c r="B366" s="570"/>
      <c r="C366" s="589">
        <v>4110</v>
      </c>
      <c r="D366" s="450" t="s">
        <v>234</v>
      </c>
      <c r="E366" s="502">
        <f t="shared" si="80"/>
        <v>40510</v>
      </c>
      <c r="F366" s="445">
        <f t="shared" si="81"/>
        <v>40510</v>
      </c>
      <c r="G366" s="445">
        <f t="shared" si="82"/>
        <v>40510</v>
      </c>
      <c r="H366" s="451"/>
      <c r="I366" s="445">
        <f t="shared" si="83"/>
        <v>40510</v>
      </c>
      <c r="J366" s="451"/>
      <c r="K366" s="451"/>
      <c r="L366" s="451">
        <v>40510</v>
      </c>
      <c r="M366" s="451"/>
      <c r="N366" s="451"/>
      <c r="O366" s="451"/>
      <c r="P366" s="451"/>
      <c r="Q366" s="451"/>
      <c r="R366" s="451"/>
      <c r="S366" s="445">
        <f t="shared" si="84"/>
        <v>0</v>
      </c>
      <c r="T366" s="451"/>
      <c r="U366" s="451"/>
      <c r="V366" s="451"/>
    </row>
    <row r="367" spans="1:22" s="441" customFormat="1" ht="30">
      <c r="A367" s="580"/>
      <c r="B367" s="570"/>
      <c r="C367" s="589">
        <v>4120</v>
      </c>
      <c r="D367" s="450" t="s">
        <v>105</v>
      </c>
      <c r="E367" s="502">
        <f t="shared" si="80"/>
        <v>6503</v>
      </c>
      <c r="F367" s="445">
        <f t="shared" si="81"/>
        <v>6503</v>
      </c>
      <c r="G367" s="445">
        <f t="shared" si="82"/>
        <v>6503</v>
      </c>
      <c r="H367" s="451"/>
      <c r="I367" s="445">
        <f t="shared" si="83"/>
        <v>6503</v>
      </c>
      <c r="J367" s="451"/>
      <c r="K367" s="451"/>
      <c r="L367" s="451">
        <v>6503</v>
      </c>
      <c r="M367" s="451"/>
      <c r="N367" s="451"/>
      <c r="O367" s="451"/>
      <c r="P367" s="451"/>
      <c r="Q367" s="451"/>
      <c r="R367" s="451"/>
      <c r="S367" s="445">
        <f t="shared" si="84"/>
        <v>0</v>
      </c>
      <c r="T367" s="451"/>
      <c r="U367" s="451"/>
      <c r="V367" s="451"/>
    </row>
    <row r="368" spans="1:22" s="441" customFormat="1" ht="30" customHeight="1">
      <c r="A368" s="580"/>
      <c r="B368" s="570"/>
      <c r="C368" s="589">
        <v>4170</v>
      </c>
      <c r="D368" s="450" t="s">
        <v>196</v>
      </c>
      <c r="E368" s="502">
        <f t="shared" si="80"/>
        <v>16261</v>
      </c>
      <c r="F368" s="445">
        <f t="shared" si="81"/>
        <v>16261</v>
      </c>
      <c r="G368" s="445">
        <f t="shared" si="82"/>
        <v>16261</v>
      </c>
      <c r="H368" s="451"/>
      <c r="I368" s="445">
        <f t="shared" si="83"/>
        <v>16261</v>
      </c>
      <c r="J368" s="451"/>
      <c r="K368" s="451"/>
      <c r="L368" s="451"/>
      <c r="M368" s="451">
        <v>16261</v>
      </c>
      <c r="N368" s="451"/>
      <c r="O368" s="451"/>
      <c r="P368" s="451"/>
      <c r="Q368" s="451"/>
      <c r="R368" s="451"/>
      <c r="S368" s="445">
        <f t="shared" si="84"/>
        <v>0</v>
      </c>
      <c r="T368" s="451"/>
      <c r="U368" s="451"/>
      <c r="V368" s="451"/>
    </row>
    <row r="369" spans="1:22" s="441" customFormat="1" ht="30">
      <c r="A369" s="580"/>
      <c r="B369" s="570"/>
      <c r="C369" s="589">
        <v>4210</v>
      </c>
      <c r="D369" s="450" t="s">
        <v>107</v>
      </c>
      <c r="E369" s="502">
        <f t="shared" si="80"/>
        <v>62499</v>
      </c>
      <c r="F369" s="445">
        <f t="shared" si="81"/>
        <v>62499</v>
      </c>
      <c r="G369" s="445">
        <f t="shared" si="82"/>
        <v>62499</v>
      </c>
      <c r="H369" s="451">
        <v>62499</v>
      </c>
      <c r="I369" s="445">
        <f t="shared" si="83"/>
        <v>0</v>
      </c>
      <c r="J369" s="451"/>
      <c r="K369" s="451"/>
      <c r="L369" s="451"/>
      <c r="M369" s="451"/>
      <c r="N369" s="451"/>
      <c r="O369" s="451"/>
      <c r="P369" s="451"/>
      <c r="Q369" s="451"/>
      <c r="R369" s="451"/>
      <c r="S369" s="445">
        <f t="shared" si="84"/>
        <v>0</v>
      </c>
      <c r="T369" s="451"/>
      <c r="U369" s="451"/>
      <c r="V369" s="451"/>
    </row>
    <row r="370" spans="1:22" s="441" customFormat="1" ht="45">
      <c r="A370" s="580"/>
      <c r="B370" s="570"/>
      <c r="C370" s="589">
        <v>4240</v>
      </c>
      <c r="D370" s="450" t="s">
        <v>244</v>
      </c>
      <c r="E370" s="502">
        <f>F370+S370</f>
        <v>14700</v>
      </c>
      <c r="F370" s="445">
        <f>G370+N370+O370+P370+Q370+R370</f>
        <v>14700</v>
      </c>
      <c r="G370" s="445">
        <f>H370+I370</f>
        <v>14700</v>
      </c>
      <c r="H370" s="451">
        <v>14700</v>
      </c>
      <c r="I370" s="445">
        <f>SUM(J370:M370)</f>
        <v>0</v>
      </c>
      <c r="J370" s="451"/>
      <c r="K370" s="451"/>
      <c r="L370" s="451"/>
      <c r="M370" s="451"/>
      <c r="N370" s="451"/>
      <c r="O370" s="451"/>
      <c r="P370" s="451"/>
      <c r="Q370" s="451"/>
      <c r="R370" s="451"/>
      <c r="S370" s="445">
        <f>T370+V370</f>
        <v>0</v>
      </c>
      <c r="T370" s="451"/>
      <c r="U370" s="451"/>
      <c r="V370" s="451"/>
    </row>
    <row r="371" spans="1:22" s="441" customFormat="1" ht="15.75">
      <c r="A371" s="580"/>
      <c r="B371" s="570"/>
      <c r="C371" s="589">
        <v>4260</v>
      </c>
      <c r="D371" s="450" t="s">
        <v>108</v>
      </c>
      <c r="E371" s="502">
        <f t="shared" si="80"/>
        <v>14760</v>
      </c>
      <c r="F371" s="445">
        <f t="shared" si="81"/>
        <v>14760</v>
      </c>
      <c r="G371" s="445">
        <f t="shared" si="82"/>
        <v>14760</v>
      </c>
      <c r="H371" s="451">
        <v>14760</v>
      </c>
      <c r="I371" s="445">
        <f t="shared" si="83"/>
        <v>0</v>
      </c>
      <c r="J371" s="451"/>
      <c r="K371" s="451"/>
      <c r="L371" s="451"/>
      <c r="M371" s="451"/>
      <c r="N371" s="451"/>
      <c r="O371" s="451"/>
      <c r="P371" s="451"/>
      <c r="Q371" s="451"/>
      <c r="R371" s="451"/>
      <c r="S371" s="445">
        <f t="shared" si="84"/>
        <v>0</v>
      </c>
      <c r="T371" s="451"/>
      <c r="U371" s="451"/>
      <c r="V371" s="451"/>
    </row>
    <row r="372" spans="1:22" s="441" customFormat="1" ht="30">
      <c r="A372" s="580"/>
      <c r="B372" s="570"/>
      <c r="C372" s="589">
        <v>4270</v>
      </c>
      <c r="D372" s="450" t="s">
        <v>124</v>
      </c>
      <c r="E372" s="502">
        <f t="shared" si="80"/>
        <v>10660</v>
      </c>
      <c r="F372" s="445">
        <f t="shared" si="81"/>
        <v>10660</v>
      </c>
      <c r="G372" s="445">
        <f t="shared" si="82"/>
        <v>10660</v>
      </c>
      <c r="H372" s="451">
        <v>10660</v>
      </c>
      <c r="I372" s="445">
        <f t="shared" si="83"/>
        <v>0</v>
      </c>
      <c r="J372" s="451"/>
      <c r="K372" s="451"/>
      <c r="L372" s="451"/>
      <c r="M372" s="451"/>
      <c r="N372" s="451"/>
      <c r="O372" s="451"/>
      <c r="P372" s="451"/>
      <c r="Q372" s="451"/>
      <c r="R372" s="451"/>
      <c r="S372" s="445">
        <f t="shared" si="84"/>
        <v>0</v>
      </c>
      <c r="T372" s="451"/>
      <c r="U372" s="451"/>
      <c r="V372" s="451"/>
    </row>
    <row r="373" spans="1:22" s="441" customFormat="1" ht="27.75" customHeight="1">
      <c r="A373" s="580"/>
      <c r="B373" s="570"/>
      <c r="C373" s="589">
        <v>4280</v>
      </c>
      <c r="D373" s="450" t="s">
        <v>110</v>
      </c>
      <c r="E373" s="502">
        <f t="shared" si="80"/>
        <v>670</v>
      </c>
      <c r="F373" s="445">
        <f t="shared" si="81"/>
        <v>670</v>
      </c>
      <c r="G373" s="445">
        <f t="shared" si="82"/>
        <v>670</v>
      </c>
      <c r="H373" s="451">
        <v>670</v>
      </c>
      <c r="I373" s="445">
        <f t="shared" si="83"/>
        <v>0</v>
      </c>
      <c r="J373" s="451"/>
      <c r="K373" s="451"/>
      <c r="L373" s="451"/>
      <c r="M373" s="451"/>
      <c r="N373" s="451"/>
      <c r="O373" s="451"/>
      <c r="P373" s="451"/>
      <c r="Q373" s="451"/>
      <c r="R373" s="451"/>
      <c r="S373" s="445">
        <f t="shared" si="84"/>
        <v>0</v>
      </c>
      <c r="T373" s="451"/>
      <c r="U373" s="451"/>
      <c r="V373" s="451"/>
    </row>
    <row r="374" spans="1:22" s="441" customFormat="1" ht="30.75" customHeight="1">
      <c r="A374" s="580"/>
      <c r="B374" s="570"/>
      <c r="C374" s="589">
        <v>4300</v>
      </c>
      <c r="D374" s="450" t="s">
        <v>255</v>
      </c>
      <c r="E374" s="502">
        <f t="shared" si="80"/>
        <v>14720</v>
      </c>
      <c r="F374" s="445">
        <f t="shared" si="81"/>
        <v>14720</v>
      </c>
      <c r="G374" s="445">
        <f t="shared" si="82"/>
        <v>14720</v>
      </c>
      <c r="H374" s="451">
        <v>14720</v>
      </c>
      <c r="I374" s="445">
        <f t="shared" si="83"/>
        <v>0</v>
      </c>
      <c r="J374" s="451"/>
      <c r="K374" s="451"/>
      <c r="L374" s="451"/>
      <c r="M374" s="451"/>
      <c r="N374" s="451"/>
      <c r="O374" s="451"/>
      <c r="P374" s="451"/>
      <c r="Q374" s="451"/>
      <c r="R374" s="451"/>
      <c r="S374" s="445">
        <f t="shared" si="84"/>
        <v>0</v>
      </c>
      <c r="T374" s="451"/>
      <c r="U374" s="451"/>
      <c r="V374" s="451"/>
    </row>
    <row r="375" spans="1:22" s="441" customFormat="1" ht="30">
      <c r="A375" s="580"/>
      <c r="B375" s="570"/>
      <c r="C375" s="589">
        <v>4350</v>
      </c>
      <c r="D375" s="450" t="s">
        <v>111</v>
      </c>
      <c r="E375" s="502">
        <f t="shared" si="80"/>
        <v>2090</v>
      </c>
      <c r="F375" s="445">
        <f t="shared" si="81"/>
        <v>2090</v>
      </c>
      <c r="G375" s="445">
        <f t="shared" si="82"/>
        <v>2090</v>
      </c>
      <c r="H375" s="451">
        <v>2090</v>
      </c>
      <c r="I375" s="445">
        <f t="shared" si="83"/>
        <v>0</v>
      </c>
      <c r="J375" s="451"/>
      <c r="K375" s="451"/>
      <c r="L375" s="451"/>
      <c r="M375" s="451"/>
      <c r="N375" s="451"/>
      <c r="O375" s="451"/>
      <c r="P375" s="451"/>
      <c r="Q375" s="451"/>
      <c r="R375" s="451"/>
      <c r="S375" s="445">
        <f t="shared" si="84"/>
        <v>0</v>
      </c>
      <c r="T375" s="451"/>
      <c r="U375" s="451"/>
      <c r="V375" s="451"/>
    </row>
    <row r="376" spans="1:22" s="441" customFormat="1" ht="60">
      <c r="A376" s="580"/>
      <c r="B376" s="570"/>
      <c r="C376" s="589">
        <v>4370</v>
      </c>
      <c r="D376" s="450" t="s">
        <v>238</v>
      </c>
      <c r="E376" s="502">
        <f t="shared" si="80"/>
        <v>3330</v>
      </c>
      <c r="F376" s="445">
        <f t="shared" si="81"/>
        <v>3330</v>
      </c>
      <c r="G376" s="445">
        <f t="shared" si="82"/>
        <v>3330</v>
      </c>
      <c r="H376" s="451">
        <v>3330</v>
      </c>
      <c r="I376" s="445">
        <f t="shared" si="83"/>
        <v>0</v>
      </c>
      <c r="J376" s="451"/>
      <c r="K376" s="451"/>
      <c r="L376" s="451"/>
      <c r="M376" s="451"/>
      <c r="N376" s="451"/>
      <c r="O376" s="451"/>
      <c r="P376" s="451"/>
      <c r="Q376" s="451"/>
      <c r="R376" s="451"/>
      <c r="S376" s="445">
        <f t="shared" si="84"/>
        <v>0</v>
      </c>
      <c r="T376" s="451"/>
      <c r="U376" s="451"/>
      <c r="V376" s="451"/>
    </row>
    <row r="377" spans="1:22" s="441" customFormat="1" ht="30">
      <c r="A377" s="580"/>
      <c r="B377" s="570"/>
      <c r="C377" s="589">
        <v>4410</v>
      </c>
      <c r="D377" s="450" t="s">
        <v>115</v>
      </c>
      <c r="E377" s="502">
        <f t="shared" si="80"/>
        <v>1130</v>
      </c>
      <c r="F377" s="445">
        <f t="shared" si="81"/>
        <v>1130</v>
      </c>
      <c r="G377" s="445">
        <f t="shared" si="82"/>
        <v>1130</v>
      </c>
      <c r="H377" s="451">
        <v>1130</v>
      </c>
      <c r="I377" s="445">
        <f t="shared" si="83"/>
        <v>0</v>
      </c>
      <c r="J377" s="451"/>
      <c r="K377" s="451"/>
      <c r="L377" s="451"/>
      <c r="M377" s="451"/>
      <c r="N377" s="451"/>
      <c r="O377" s="451"/>
      <c r="P377" s="451"/>
      <c r="Q377" s="451"/>
      <c r="R377" s="451"/>
      <c r="S377" s="445">
        <f t="shared" si="84"/>
        <v>0</v>
      </c>
      <c r="T377" s="451"/>
      <c r="U377" s="451"/>
      <c r="V377" s="451"/>
    </row>
    <row r="378" spans="1:22" s="441" customFormat="1" ht="15.75">
      <c r="A378" s="580"/>
      <c r="B378" s="570"/>
      <c r="C378" s="589">
        <v>4430</v>
      </c>
      <c r="D378" s="450" t="s">
        <v>116</v>
      </c>
      <c r="E378" s="502">
        <f t="shared" si="80"/>
        <v>220</v>
      </c>
      <c r="F378" s="445">
        <f t="shared" si="81"/>
        <v>220</v>
      </c>
      <c r="G378" s="445">
        <f t="shared" si="82"/>
        <v>220</v>
      </c>
      <c r="H378" s="451">
        <v>220</v>
      </c>
      <c r="I378" s="445">
        <f t="shared" si="83"/>
        <v>0</v>
      </c>
      <c r="J378" s="451"/>
      <c r="K378" s="451"/>
      <c r="L378" s="451"/>
      <c r="M378" s="451"/>
      <c r="N378" s="451"/>
      <c r="O378" s="451"/>
      <c r="P378" s="451"/>
      <c r="Q378" s="451"/>
      <c r="R378" s="451"/>
      <c r="S378" s="445">
        <f t="shared" si="84"/>
        <v>0</v>
      </c>
      <c r="T378" s="451"/>
      <c r="U378" s="451"/>
      <c r="V378" s="451"/>
    </row>
    <row r="379" spans="1:22" s="441" customFormat="1" ht="46.5" customHeight="1">
      <c r="A379" s="580"/>
      <c r="B379" s="570"/>
      <c r="C379" s="589">
        <v>4440</v>
      </c>
      <c r="D379" s="450" t="s">
        <v>117</v>
      </c>
      <c r="E379" s="502">
        <f t="shared" si="80"/>
        <v>72885</v>
      </c>
      <c r="F379" s="445">
        <f t="shared" si="81"/>
        <v>72885</v>
      </c>
      <c r="G379" s="445">
        <f t="shared" si="82"/>
        <v>72885</v>
      </c>
      <c r="H379" s="451">
        <v>72885</v>
      </c>
      <c r="I379" s="445">
        <f t="shared" si="83"/>
        <v>0</v>
      </c>
      <c r="J379" s="451"/>
      <c r="K379" s="451"/>
      <c r="L379" s="451"/>
      <c r="M379" s="451"/>
      <c r="N379" s="451"/>
      <c r="O379" s="451"/>
      <c r="P379" s="451"/>
      <c r="Q379" s="451"/>
      <c r="R379" s="451"/>
      <c r="S379" s="445">
        <f t="shared" si="84"/>
        <v>0</v>
      </c>
      <c r="T379" s="451"/>
      <c r="U379" s="451"/>
      <c r="V379" s="451"/>
    </row>
    <row r="380" spans="1:22" s="441" customFormat="1" ht="30">
      <c r="A380" s="580"/>
      <c r="B380" s="570"/>
      <c r="C380" s="589">
        <v>4480</v>
      </c>
      <c r="D380" s="450" t="s">
        <v>118</v>
      </c>
      <c r="E380" s="502">
        <f t="shared" si="80"/>
        <v>650</v>
      </c>
      <c r="F380" s="445">
        <f t="shared" si="81"/>
        <v>650</v>
      </c>
      <c r="G380" s="445">
        <f t="shared" si="82"/>
        <v>650</v>
      </c>
      <c r="H380" s="451">
        <v>650</v>
      </c>
      <c r="I380" s="445">
        <f t="shared" si="83"/>
        <v>0</v>
      </c>
      <c r="J380" s="451"/>
      <c r="K380" s="451"/>
      <c r="L380" s="451"/>
      <c r="M380" s="451"/>
      <c r="N380" s="451"/>
      <c r="O380" s="451"/>
      <c r="P380" s="451"/>
      <c r="Q380" s="451"/>
      <c r="R380" s="451"/>
      <c r="S380" s="445">
        <f t="shared" si="84"/>
        <v>0</v>
      </c>
      <c r="T380" s="451"/>
      <c r="U380" s="451"/>
      <c r="V380" s="451"/>
    </row>
    <row r="381" spans="1:22" s="441" customFormat="1" ht="30">
      <c r="A381" s="580"/>
      <c r="B381" s="570"/>
      <c r="C381" s="589">
        <v>4510</v>
      </c>
      <c r="D381" s="450" t="s">
        <v>420</v>
      </c>
      <c r="E381" s="502">
        <f t="shared" si="80"/>
        <v>160</v>
      </c>
      <c r="F381" s="445">
        <f t="shared" si="81"/>
        <v>160</v>
      </c>
      <c r="G381" s="445">
        <f t="shared" si="82"/>
        <v>160</v>
      </c>
      <c r="H381" s="451">
        <v>160</v>
      </c>
      <c r="I381" s="445">
        <f t="shared" si="83"/>
        <v>0</v>
      </c>
      <c r="J381" s="451"/>
      <c r="K381" s="451"/>
      <c r="L381" s="451"/>
      <c r="M381" s="451"/>
      <c r="N381" s="451"/>
      <c r="O381" s="451"/>
      <c r="P381" s="451"/>
      <c r="Q381" s="451"/>
      <c r="R381" s="451"/>
      <c r="S381" s="445">
        <f t="shared" si="84"/>
        <v>0</v>
      </c>
      <c r="T381" s="451"/>
      <c r="U381" s="451"/>
      <c r="V381" s="451"/>
    </row>
    <row r="382" spans="1:22" s="441" customFormat="1" ht="45">
      <c r="A382" s="580"/>
      <c r="B382" s="570"/>
      <c r="C382" s="589">
        <v>4700</v>
      </c>
      <c r="D382" s="450" t="s">
        <v>385</v>
      </c>
      <c r="E382" s="502">
        <f t="shared" si="80"/>
        <v>4060</v>
      </c>
      <c r="F382" s="445">
        <f t="shared" si="81"/>
        <v>4060</v>
      </c>
      <c r="G382" s="445">
        <f t="shared" si="82"/>
        <v>4060</v>
      </c>
      <c r="H382" s="451">
        <v>4060</v>
      </c>
      <c r="I382" s="445">
        <f t="shared" si="83"/>
        <v>0</v>
      </c>
      <c r="J382" s="451"/>
      <c r="K382" s="451"/>
      <c r="L382" s="451"/>
      <c r="M382" s="451"/>
      <c r="N382" s="451"/>
      <c r="O382" s="451"/>
      <c r="P382" s="451"/>
      <c r="Q382" s="451"/>
      <c r="R382" s="451"/>
      <c r="S382" s="445">
        <f t="shared" si="84"/>
        <v>0</v>
      </c>
      <c r="T382" s="451"/>
      <c r="U382" s="451"/>
      <c r="V382" s="451"/>
    </row>
    <row r="383" spans="1:22" s="441" customFormat="1" ht="63" customHeight="1">
      <c r="A383" s="580"/>
      <c r="B383" s="570"/>
      <c r="C383" s="589">
        <v>4740</v>
      </c>
      <c r="D383" s="450" t="s">
        <v>199</v>
      </c>
      <c r="E383" s="502">
        <f t="shared" si="80"/>
        <v>1080</v>
      </c>
      <c r="F383" s="445">
        <f t="shared" si="81"/>
        <v>1080</v>
      </c>
      <c r="G383" s="445">
        <f t="shared" si="82"/>
        <v>1080</v>
      </c>
      <c r="H383" s="451">
        <v>1080</v>
      </c>
      <c r="I383" s="445">
        <f t="shared" si="83"/>
        <v>0</v>
      </c>
      <c r="J383" s="451"/>
      <c r="K383" s="451"/>
      <c r="L383" s="451"/>
      <c r="M383" s="451"/>
      <c r="N383" s="451"/>
      <c r="O383" s="451"/>
      <c r="P383" s="451"/>
      <c r="Q383" s="451"/>
      <c r="R383" s="451"/>
      <c r="S383" s="445">
        <f t="shared" si="84"/>
        <v>0</v>
      </c>
      <c r="T383" s="451"/>
      <c r="U383" s="451"/>
      <c r="V383" s="451"/>
    </row>
    <row r="384" spans="1:22" s="441" customFormat="1" ht="45">
      <c r="A384" s="580"/>
      <c r="B384" s="570"/>
      <c r="C384" s="589">
        <v>4750</v>
      </c>
      <c r="D384" s="450" t="s">
        <v>239</v>
      </c>
      <c r="E384" s="502">
        <f t="shared" si="80"/>
        <v>7200</v>
      </c>
      <c r="F384" s="445">
        <f t="shared" si="81"/>
        <v>7200</v>
      </c>
      <c r="G384" s="445">
        <f t="shared" si="82"/>
        <v>7200</v>
      </c>
      <c r="H384" s="451">
        <v>7200</v>
      </c>
      <c r="I384" s="445">
        <f t="shared" si="83"/>
        <v>0</v>
      </c>
      <c r="J384" s="451"/>
      <c r="K384" s="451"/>
      <c r="L384" s="451"/>
      <c r="M384" s="451"/>
      <c r="N384" s="451"/>
      <c r="O384" s="451"/>
      <c r="P384" s="451"/>
      <c r="Q384" s="451"/>
      <c r="R384" s="451"/>
      <c r="S384" s="445">
        <f t="shared" si="84"/>
        <v>0</v>
      </c>
      <c r="T384" s="451"/>
      <c r="U384" s="451"/>
      <c r="V384" s="451"/>
    </row>
    <row r="385" spans="1:22" s="441" customFormat="1" ht="30" customHeight="1" hidden="1">
      <c r="A385" s="580"/>
      <c r="B385" s="570"/>
      <c r="C385" s="589">
        <v>6050</v>
      </c>
      <c r="D385" s="450" t="s">
        <v>605</v>
      </c>
      <c r="E385" s="502">
        <f t="shared" si="80"/>
        <v>0</v>
      </c>
      <c r="F385" s="445">
        <f t="shared" si="81"/>
        <v>0</v>
      </c>
      <c r="G385" s="445">
        <f t="shared" si="82"/>
        <v>0</v>
      </c>
      <c r="H385" s="451"/>
      <c r="I385" s="445">
        <f t="shared" si="83"/>
        <v>0</v>
      </c>
      <c r="J385" s="451"/>
      <c r="K385" s="451"/>
      <c r="L385" s="451"/>
      <c r="M385" s="451"/>
      <c r="N385" s="451"/>
      <c r="O385" s="451"/>
      <c r="P385" s="451"/>
      <c r="Q385" s="451"/>
      <c r="R385" s="451"/>
      <c r="S385" s="445">
        <f t="shared" si="84"/>
        <v>0</v>
      </c>
      <c r="T385" s="451"/>
      <c r="U385" s="451"/>
      <c r="V385" s="451"/>
    </row>
    <row r="386" spans="1:22" s="441" customFormat="1" ht="45" customHeight="1" hidden="1">
      <c r="A386" s="580"/>
      <c r="B386" s="570"/>
      <c r="C386" s="589">
        <v>6060</v>
      </c>
      <c r="D386" s="450" t="s">
        <v>387</v>
      </c>
      <c r="E386" s="502">
        <f t="shared" si="80"/>
        <v>0</v>
      </c>
      <c r="F386" s="445">
        <f t="shared" si="81"/>
        <v>0</v>
      </c>
      <c r="G386" s="445">
        <f t="shared" si="82"/>
        <v>0</v>
      </c>
      <c r="H386" s="451"/>
      <c r="I386" s="445">
        <f t="shared" si="83"/>
        <v>0</v>
      </c>
      <c r="J386" s="451"/>
      <c r="K386" s="451"/>
      <c r="L386" s="451"/>
      <c r="M386" s="451"/>
      <c r="N386" s="451"/>
      <c r="O386" s="451"/>
      <c r="P386" s="451"/>
      <c r="Q386" s="451"/>
      <c r="R386" s="451"/>
      <c r="S386" s="445">
        <f t="shared" si="84"/>
        <v>0</v>
      </c>
      <c r="T386" s="451"/>
      <c r="U386" s="451"/>
      <c r="V386" s="451"/>
    </row>
    <row r="387" spans="1:22" s="441" customFormat="1" ht="54.75" customHeight="1" hidden="1">
      <c r="A387" s="580"/>
      <c r="B387" s="570"/>
      <c r="C387" s="596">
        <v>4118</v>
      </c>
      <c r="D387" s="461" t="s">
        <v>234</v>
      </c>
      <c r="E387" s="502">
        <f t="shared" si="80"/>
        <v>0</v>
      </c>
      <c r="F387" s="445">
        <f t="shared" si="81"/>
        <v>0</v>
      </c>
      <c r="G387" s="445">
        <f t="shared" si="82"/>
        <v>0</v>
      </c>
      <c r="H387" s="451"/>
      <c r="I387" s="445">
        <f t="shared" si="83"/>
        <v>0</v>
      </c>
      <c r="J387" s="451"/>
      <c r="K387" s="451"/>
      <c r="L387" s="462"/>
      <c r="M387" s="462"/>
      <c r="N387" s="462"/>
      <c r="O387" s="451"/>
      <c r="P387" s="451"/>
      <c r="Q387" s="451"/>
      <c r="R387" s="451"/>
      <c r="S387" s="445">
        <f t="shared" si="84"/>
        <v>0</v>
      </c>
      <c r="T387" s="451"/>
      <c r="U387" s="451"/>
      <c r="V387" s="451"/>
    </row>
    <row r="388" spans="1:22" s="441" customFormat="1" ht="60.75" customHeight="1" hidden="1">
      <c r="A388" s="580"/>
      <c r="B388" s="570"/>
      <c r="C388" s="596">
        <v>4119</v>
      </c>
      <c r="D388" s="461" t="s">
        <v>234</v>
      </c>
      <c r="E388" s="502">
        <f t="shared" si="80"/>
        <v>0</v>
      </c>
      <c r="F388" s="445">
        <f t="shared" si="81"/>
        <v>0</v>
      </c>
      <c r="G388" s="445">
        <f t="shared" si="82"/>
        <v>0</v>
      </c>
      <c r="H388" s="451"/>
      <c r="I388" s="445">
        <f t="shared" si="83"/>
        <v>0</v>
      </c>
      <c r="J388" s="451"/>
      <c r="K388" s="451"/>
      <c r="L388" s="462"/>
      <c r="M388" s="462"/>
      <c r="N388" s="462"/>
      <c r="O388" s="451"/>
      <c r="P388" s="451"/>
      <c r="Q388" s="451"/>
      <c r="R388" s="451"/>
      <c r="S388" s="445">
        <f t="shared" si="84"/>
        <v>0</v>
      </c>
      <c r="T388" s="451"/>
      <c r="U388" s="451"/>
      <c r="V388" s="451"/>
    </row>
    <row r="389" spans="1:22" s="441" customFormat="1" ht="35.25" customHeight="1" hidden="1">
      <c r="A389" s="580"/>
      <c r="B389" s="570"/>
      <c r="C389" s="596">
        <v>4128</v>
      </c>
      <c r="D389" s="461" t="s">
        <v>105</v>
      </c>
      <c r="E389" s="502">
        <f t="shared" si="80"/>
        <v>0</v>
      </c>
      <c r="F389" s="445">
        <f t="shared" si="81"/>
        <v>0</v>
      </c>
      <c r="G389" s="445">
        <f t="shared" si="82"/>
        <v>0</v>
      </c>
      <c r="H389" s="451"/>
      <c r="I389" s="445">
        <f t="shared" si="83"/>
        <v>0</v>
      </c>
      <c r="J389" s="451"/>
      <c r="K389" s="451"/>
      <c r="O389" s="451"/>
      <c r="P389" s="451"/>
      <c r="Q389" s="451"/>
      <c r="R389" s="451"/>
      <c r="S389" s="445">
        <f t="shared" si="84"/>
        <v>0</v>
      </c>
      <c r="T389" s="451"/>
      <c r="U389" s="451"/>
      <c r="V389" s="451"/>
    </row>
    <row r="390" spans="1:22" s="441" customFormat="1" ht="18.75" customHeight="1" hidden="1">
      <c r="A390" s="580"/>
      <c r="B390" s="570"/>
      <c r="C390" s="596">
        <v>4129</v>
      </c>
      <c r="D390" s="461" t="s">
        <v>105</v>
      </c>
      <c r="E390" s="502">
        <f t="shared" si="80"/>
        <v>0</v>
      </c>
      <c r="F390" s="445">
        <f t="shared" si="81"/>
        <v>0</v>
      </c>
      <c r="G390" s="445">
        <f t="shared" si="82"/>
        <v>0</v>
      </c>
      <c r="H390" s="451"/>
      <c r="I390" s="445">
        <f t="shared" si="83"/>
        <v>0</v>
      </c>
      <c r="J390" s="451"/>
      <c r="K390" s="451"/>
      <c r="L390" s="460"/>
      <c r="M390" s="460"/>
      <c r="N390" s="460"/>
      <c r="O390" s="451"/>
      <c r="P390" s="451"/>
      <c r="Q390" s="451"/>
      <c r="R390" s="451"/>
      <c r="S390" s="445">
        <f t="shared" si="84"/>
        <v>0</v>
      </c>
      <c r="T390" s="451"/>
      <c r="U390" s="451"/>
      <c r="V390" s="451"/>
    </row>
    <row r="391" spans="1:22" s="441" customFormat="1" ht="36" customHeight="1" hidden="1">
      <c r="A391" s="580"/>
      <c r="B391" s="570"/>
      <c r="C391" s="596">
        <v>4178</v>
      </c>
      <c r="D391" s="461" t="s">
        <v>196</v>
      </c>
      <c r="E391" s="502">
        <f t="shared" si="80"/>
        <v>0</v>
      </c>
      <c r="F391" s="445">
        <f t="shared" si="81"/>
        <v>0</v>
      </c>
      <c r="G391" s="445">
        <f t="shared" si="82"/>
        <v>0</v>
      </c>
      <c r="H391" s="451"/>
      <c r="I391" s="445">
        <f t="shared" si="83"/>
        <v>0</v>
      </c>
      <c r="J391" s="451"/>
      <c r="K391" s="451"/>
      <c r="L391" s="462"/>
      <c r="M391" s="462"/>
      <c r="N391" s="462"/>
      <c r="O391" s="451"/>
      <c r="P391" s="451"/>
      <c r="Q391" s="451"/>
      <c r="R391" s="451"/>
      <c r="S391" s="445">
        <f t="shared" si="84"/>
        <v>0</v>
      </c>
      <c r="T391" s="451"/>
      <c r="U391" s="451"/>
      <c r="V391" s="451"/>
    </row>
    <row r="392" spans="1:22" s="441" customFormat="1" ht="28.5" customHeight="1" hidden="1">
      <c r="A392" s="580"/>
      <c r="B392" s="570"/>
      <c r="C392" s="596">
        <v>4179</v>
      </c>
      <c r="D392" s="461" t="s">
        <v>196</v>
      </c>
      <c r="E392" s="502">
        <f t="shared" si="80"/>
        <v>0</v>
      </c>
      <c r="F392" s="445">
        <f t="shared" si="81"/>
        <v>0</v>
      </c>
      <c r="G392" s="445">
        <f t="shared" si="82"/>
        <v>0</v>
      </c>
      <c r="H392" s="451"/>
      <c r="I392" s="445">
        <f t="shared" si="83"/>
        <v>0</v>
      </c>
      <c r="J392" s="451"/>
      <c r="K392" s="451"/>
      <c r="L392" s="462"/>
      <c r="M392" s="462"/>
      <c r="N392" s="462"/>
      <c r="O392" s="451"/>
      <c r="P392" s="451"/>
      <c r="Q392" s="451"/>
      <c r="R392" s="451"/>
      <c r="S392" s="445">
        <f t="shared" si="84"/>
        <v>0</v>
      </c>
      <c r="T392" s="451"/>
      <c r="U392" s="451"/>
      <c r="V392" s="451"/>
    </row>
    <row r="393" spans="1:22" s="441" customFormat="1" ht="30" customHeight="1" hidden="1">
      <c r="A393" s="580"/>
      <c r="B393" s="570"/>
      <c r="C393" s="596">
        <v>4218</v>
      </c>
      <c r="D393" s="461" t="s">
        <v>107</v>
      </c>
      <c r="E393" s="502">
        <f t="shared" si="80"/>
        <v>0</v>
      </c>
      <c r="F393" s="445">
        <f t="shared" si="81"/>
        <v>0</v>
      </c>
      <c r="G393" s="445">
        <f t="shared" si="82"/>
        <v>0</v>
      </c>
      <c r="H393" s="451"/>
      <c r="I393" s="445">
        <f t="shared" si="83"/>
        <v>0</v>
      </c>
      <c r="J393" s="451"/>
      <c r="K393" s="451"/>
      <c r="L393" s="451"/>
      <c r="M393" s="451"/>
      <c r="N393" s="451"/>
      <c r="O393" s="451"/>
      <c r="P393" s="451"/>
      <c r="Q393" s="451"/>
      <c r="R393" s="451"/>
      <c r="S393" s="445">
        <f t="shared" si="84"/>
        <v>0</v>
      </c>
      <c r="T393" s="451"/>
      <c r="U393" s="451"/>
      <c r="V393" s="451"/>
    </row>
    <row r="394" spans="1:22" s="441" customFormat="1" ht="30" customHeight="1" hidden="1">
      <c r="A394" s="580"/>
      <c r="B394" s="570"/>
      <c r="C394" s="596">
        <v>4219</v>
      </c>
      <c r="D394" s="461" t="s">
        <v>107</v>
      </c>
      <c r="E394" s="502">
        <f t="shared" si="80"/>
        <v>0</v>
      </c>
      <c r="F394" s="445">
        <f t="shared" si="81"/>
        <v>0</v>
      </c>
      <c r="G394" s="445">
        <f t="shared" si="82"/>
        <v>0</v>
      </c>
      <c r="H394" s="451"/>
      <c r="I394" s="445">
        <f t="shared" si="83"/>
        <v>0</v>
      </c>
      <c r="J394" s="451"/>
      <c r="K394" s="451"/>
      <c r="L394" s="451"/>
      <c r="M394" s="451"/>
      <c r="N394" s="451"/>
      <c r="O394" s="451"/>
      <c r="P394" s="451"/>
      <c r="Q394" s="451"/>
      <c r="R394" s="451"/>
      <c r="S394" s="445">
        <f t="shared" si="84"/>
        <v>0</v>
      </c>
      <c r="T394" s="451"/>
      <c r="U394" s="451"/>
      <c r="V394" s="451"/>
    </row>
    <row r="395" spans="1:22" s="441" customFormat="1" ht="15.75" customHeight="1" hidden="1">
      <c r="A395" s="580"/>
      <c r="B395" s="570"/>
      <c r="C395" s="596">
        <v>4268</v>
      </c>
      <c r="D395" s="461" t="s">
        <v>108</v>
      </c>
      <c r="E395" s="502">
        <f t="shared" si="80"/>
        <v>0</v>
      </c>
      <c r="F395" s="445">
        <f t="shared" si="81"/>
        <v>0</v>
      </c>
      <c r="G395" s="445">
        <f t="shared" si="82"/>
        <v>0</v>
      </c>
      <c r="H395" s="451"/>
      <c r="I395" s="445">
        <f t="shared" si="83"/>
        <v>0</v>
      </c>
      <c r="J395" s="451"/>
      <c r="K395" s="451"/>
      <c r="L395" s="451"/>
      <c r="M395" s="451"/>
      <c r="N395" s="451"/>
      <c r="O395" s="451"/>
      <c r="P395" s="451"/>
      <c r="Q395" s="451"/>
      <c r="R395" s="451"/>
      <c r="S395" s="445">
        <f t="shared" si="84"/>
        <v>0</v>
      </c>
      <c r="T395" s="451"/>
      <c r="U395" s="451"/>
      <c r="V395" s="451"/>
    </row>
    <row r="396" spans="1:22" s="441" customFormat="1" ht="15.75" customHeight="1" hidden="1">
      <c r="A396" s="580"/>
      <c r="B396" s="570"/>
      <c r="C396" s="596">
        <v>4269</v>
      </c>
      <c r="D396" s="461" t="s">
        <v>108</v>
      </c>
      <c r="E396" s="502">
        <f t="shared" si="80"/>
        <v>0</v>
      </c>
      <c r="F396" s="445">
        <f t="shared" si="81"/>
        <v>0</v>
      </c>
      <c r="G396" s="445">
        <f t="shared" si="82"/>
        <v>0</v>
      </c>
      <c r="H396" s="451"/>
      <c r="I396" s="445">
        <f t="shared" si="83"/>
        <v>0</v>
      </c>
      <c r="J396" s="451"/>
      <c r="K396" s="451"/>
      <c r="L396" s="451"/>
      <c r="M396" s="451"/>
      <c r="N396" s="451"/>
      <c r="O396" s="451"/>
      <c r="P396" s="451"/>
      <c r="Q396" s="451"/>
      <c r="R396" s="451"/>
      <c r="S396" s="445">
        <f t="shared" si="84"/>
        <v>0</v>
      </c>
      <c r="T396" s="451"/>
      <c r="U396" s="451"/>
      <c r="V396" s="451"/>
    </row>
    <row r="397" spans="1:22" s="441" customFormat="1" ht="27" customHeight="1" hidden="1">
      <c r="A397" s="580"/>
      <c r="B397" s="570"/>
      <c r="C397" s="596">
        <v>4308</v>
      </c>
      <c r="D397" s="461" t="s">
        <v>255</v>
      </c>
      <c r="E397" s="502">
        <f t="shared" si="80"/>
        <v>0</v>
      </c>
      <c r="F397" s="445">
        <f t="shared" si="81"/>
        <v>0</v>
      </c>
      <c r="G397" s="445">
        <f t="shared" si="82"/>
        <v>0</v>
      </c>
      <c r="H397" s="451"/>
      <c r="I397" s="445">
        <f t="shared" si="83"/>
        <v>0</v>
      </c>
      <c r="J397" s="451"/>
      <c r="K397" s="451"/>
      <c r="L397" s="451"/>
      <c r="M397" s="451"/>
      <c r="N397" s="451"/>
      <c r="O397" s="451"/>
      <c r="P397" s="451"/>
      <c r="Q397" s="451"/>
      <c r="R397" s="451"/>
      <c r="S397" s="445">
        <f t="shared" si="84"/>
        <v>0</v>
      </c>
      <c r="T397" s="451"/>
      <c r="U397" s="451"/>
      <c r="V397" s="451"/>
    </row>
    <row r="398" spans="1:22" s="441" customFormat="1" ht="27.75" customHeight="1" hidden="1">
      <c r="A398" s="580"/>
      <c r="B398" s="570"/>
      <c r="C398" s="596">
        <v>4309</v>
      </c>
      <c r="D398" s="461" t="s">
        <v>255</v>
      </c>
      <c r="E398" s="502">
        <f t="shared" si="80"/>
        <v>0</v>
      </c>
      <c r="F398" s="445">
        <f t="shared" si="81"/>
        <v>0</v>
      </c>
      <c r="G398" s="445">
        <f t="shared" si="82"/>
        <v>0</v>
      </c>
      <c r="H398" s="451"/>
      <c r="I398" s="445">
        <f t="shared" si="83"/>
        <v>0</v>
      </c>
      <c r="J398" s="451"/>
      <c r="K398" s="451"/>
      <c r="L398" s="451"/>
      <c r="M398" s="451"/>
      <c r="N398" s="451"/>
      <c r="O398" s="451"/>
      <c r="P398" s="451"/>
      <c r="Q398" s="451"/>
      <c r="R398" s="451"/>
      <c r="S398" s="445">
        <f t="shared" si="84"/>
        <v>0</v>
      </c>
      <c r="T398" s="451"/>
      <c r="U398" s="451"/>
      <c r="V398" s="451"/>
    </row>
    <row r="399" spans="1:22" s="441" customFormat="1" ht="33.75" customHeight="1" hidden="1">
      <c r="A399" s="580"/>
      <c r="B399" s="570"/>
      <c r="C399" s="589">
        <v>4358</v>
      </c>
      <c r="D399" s="450" t="s">
        <v>111</v>
      </c>
      <c r="E399" s="502">
        <f t="shared" si="80"/>
        <v>0</v>
      </c>
      <c r="F399" s="445">
        <f t="shared" si="81"/>
        <v>0</v>
      </c>
      <c r="G399" s="445">
        <f t="shared" si="82"/>
        <v>0</v>
      </c>
      <c r="H399" s="451"/>
      <c r="I399" s="445">
        <f t="shared" si="83"/>
        <v>0</v>
      </c>
      <c r="J399" s="451"/>
      <c r="K399" s="451"/>
      <c r="L399" s="451"/>
      <c r="M399" s="451"/>
      <c r="N399" s="451"/>
      <c r="O399" s="451"/>
      <c r="P399" s="451"/>
      <c r="Q399" s="451"/>
      <c r="R399" s="451"/>
      <c r="S399" s="445">
        <f t="shared" si="84"/>
        <v>0</v>
      </c>
      <c r="T399" s="451"/>
      <c r="U399" s="451"/>
      <c r="V399" s="451"/>
    </row>
    <row r="400" spans="1:22" s="441" customFormat="1" ht="32.25" customHeight="1" hidden="1">
      <c r="A400" s="580"/>
      <c r="B400" s="570"/>
      <c r="C400" s="589">
        <v>4359</v>
      </c>
      <c r="D400" s="450" t="s">
        <v>111</v>
      </c>
      <c r="E400" s="502">
        <f t="shared" si="80"/>
        <v>0</v>
      </c>
      <c r="F400" s="445">
        <f t="shared" si="81"/>
        <v>0</v>
      </c>
      <c r="G400" s="445">
        <f t="shared" si="82"/>
        <v>0</v>
      </c>
      <c r="H400" s="451"/>
      <c r="I400" s="445">
        <f t="shared" si="83"/>
        <v>0</v>
      </c>
      <c r="J400" s="451"/>
      <c r="K400" s="451"/>
      <c r="L400" s="451"/>
      <c r="M400" s="451"/>
      <c r="N400" s="451"/>
      <c r="O400" s="451"/>
      <c r="P400" s="451"/>
      <c r="Q400" s="451"/>
      <c r="R400" s="451"/>
      <c r="S400" s="445">
        <f t="shared" si="84"/>
        <v>0</v>
      </c>
      <c r="T400" s="451"/>
      <c r="U400" s="451"/>
      <c r="V400" s="451"/>
    </row>
    <row r="401" spans="1:22" s="441" customFormat="1" ht="60" customHeight="1" hidden="1">
      <c r="A401" s="580"/>
      <c r="B401" s="570"/>
      <c r="C401" s="596">
        <v>4368</v>
      </c>
      <c r="D401" s="461" t="s">
        <v>245</v>
      </c>
      <c r="E401" s="502">
        <f t="shared" si="80"/>
        <v>0</v>
      </c>
      <c r="F401" s="445">
        <f t="shared" si="81"/>
        <v>0</v>
      </c>
      <c r="G401" s="445">
        <f t="shared" si="82"/>
        <v>0</v>
      </c>
      <c r="H401" s="451"/>
      <c r="I401" s="445">
        <f t="shared" si="83"/>
        <v>0</v>
      </c>
      <c r="J401" s="451"/>
      <c r="K401" s="451"/>
      <c r="L401" s="451"/>
      <c r="M401" s="451"/>
      <c r="N401" s="451"/>
      <c r="O401" s="451"/>
      <c r="P401" s="451"/>
      <c r="Q401" s="451"/>
      <c r="R401" s="451"/>
      <c r="S401" s="445">
        <f t="shared" si="84"/>
        <v>0</v>
      </c>
      <c r="T401" s="451"/>
      <c r="U401" s="451"/>
      <c r="V401" s="451"/>
    </row>
    <row r="402" spans="1:22" s="441" customFormat="1" ht="60" customHeight="1" hidden="1">
      <c r="A402" s="580"/>
      <c r="B402" s="570"/>
      <c r="C402" s="596">
        <v>4369</v>
      </c>
      <c r="D402" s="461" t="s">
        <v>245</v>
      </c>
      <c r="E402" s="502">
        <f t="shared" si="80"/>
        <v>0</v>
      </c>
      <c r="F402" s="445">
        <f t="shared" si="81"/>
        <v>0</v>
      </c>
      <c r="G402" s="445">
        <f t="shared" si="82"/>
        <v>0</v>
      </c>
      <c r="H402" s="451"/>
      <c r="I402" s="445">
        <f t="shared" si="83"/>
        <v>0</v>
      </c>
      <c r="J402" s="451"/>
      <c r="K402" s="451"/>
      <c r="L402" s="451"/>
      <c r="M402" s="451"/>
      <c r="N402" s="451"/>
      <c r="O402" s="451"/>
      <c r="P402" s="451"/>
      <c r="Q402" s="451"/>
      <c r="R402" s="451"/>
      <c r="S402" s="445">
        <f t="shared" si="84"/>
        <v>0</v>
      </c>
      <c r="T402" s="451"/>
      <c r="U402" s="451"/>
      <c r="V402" s="451"/>
    </row>
    <row r="403" spans="1:22" s="441" customFormat="1" ht="60" customHeight="1" hidden="1">
      <c r="A403" s="580"/>
      <c r="B403" s="570"/>
      <c r="C403" s="596">
        <v>4378</v>
      </c>
      <c r="D403" s="461" t="s">
        <v>238</v>
      </c>
      <c r="E403" s="502">
        <f t="shared" si="80"/>
        <v>0</v>
      </c>
      <c r="F403" s="445">
        <f t="shared" si="81"/>
        <v>0</v>
      </c>
      <c r="G403" s="445">
        <f t="shared" si="82"/>
        <v>0</v>
      </c>
      <c r="H403" s="451"/>
      <c r="I403" s="445">
        <f t="shared" si="83"/>
        <v>0</v>
      </c>
      <c r="J403" s="451"/>
      <c r="K403" s="451"/>
      <c r="L403" s="451"/>
      <c r="M403" s="451"/>
      <c r="N403" s="451"/>
      <c r="O403" s="451"/>
      <c r="P403" s="451"/>
      <c r="Q403" s="451"/>
      <c r="R403" s="451"/>
      <c r="S403" s="445">
        <f t="shared" si="84"/>
        <v>0</v>
      </c>
      <c r="T403" s="451"/>
      <c r="U403" s="451"/>
      <c r="V403" s="451"/>
    </row>
    <row r="404" spans="1:22" s="441" customFormat="1" ht="60" customHeight="1" hidden="1">
      <c r="A404" s="580"/>
      <c r="B404" s="570"/>
      <c r="C404" s="596">
        <v>4379</v>
      </c>
      <c r="D404" s="461" t="s">
        <v>238</v>
      </c>
      <c r="E404" s="502">
        <f t="shared" si="80"/>
        <v>0</v>
      </c>
      <c r="F404" s="445">
        <f t="shared" si="81"/>
        <v>0</v>
      </c>
      <c r="G404" s="445">
        <f t="shared" si="82"/>
        <v>0</v>
      </c>
      <c r="H404" s="451"/>
      <c r="I404" s="445">
        <f t="shared" si="83"/>
        <v>0</v>
      </c>
      <c r="J404" s="451"/>
      <c r="K404" s="451"/>
      <c r="L404" s="451"/>
      <c r="M404" s="451"/>
      <c r="N404" s="451"/>
      <c r="O404" s="451"/>
      <c r="P404" s="451"/>
      <c r="Q404" s="451"/>
      <c r="R404" s="451"/>
      <c r="S404" s="445">
        <f t="shared" si="84"/>
        <v>0</v>
      </c>
      <c r="T404" s="451"/>
      <c r="U404" s="451"/>
      <c r="V404" s="451"/>
    </row>
    <row r="405" spans="1:22" s="441" customFormat="1" ht="30" customHeight="1" hidden="1">
      <c r="A405" s="580"/>
      <c r="B405" s="582" t="s">
        <v>800</v>
      </c>
      <c r="C405" s="589">
        <v>4410</v>
      </c>
      <c r="D405" s="450" t="s">
        <v>115</v>
      </c>
      <c r="E405" s="502">
        <f t="shared" si="80"/>
        <v>0</v>
      </c>
      <c r="F405" s="445">
        <f t="shared" si="81"/>
        <v>0</v>
      </c>
      <c r="G405" s="445">
        <f t="shared" si="82"/>
        <v>0</v>
      </c>
      <c r="H405" s="451"/>
      <c r="I405" s="445">
        <f t="shared" si="83"/>
        <v>0</v>
      </c>
      <c r="J405" s="451"/>
      <c r="K405" s="451"/>
      <c r="L405" s="451"/>
      <c r="M405" s="451"/>
      <c r="N405" s="451"/>
      <c r="O405" s="451"/>
      <c r="P405" s="451"/>
      <c r="Q405" s="451"/>
      <c r="R405" s="451"/>
      <c r="S405" s="445">
        <f t="shared" si="84"/>
        <v>0</v>
      </c>
      <c r="T405" s="451"/>
      <c r="U405" s="451"/>
      <c r="V405" s="451"/>
    </row>
    <row r="406" spans="1:22" s="441" customFormat="1" ht="30" customHeight="1" hidden="1">
      <c r="A406" s="580"/>
      <c r="B406" s="583"/>
      <c r="C406" s="589">
        <v>4410</v>
      </c>
      <c r="D406" s="450" t="s">
        <v>115</v>
      </c>
      <c r="E406" s="502">
        <f t="shared" si="80"/>
        <v>0</v>
      </c>
      <c r="F406" s="445">
        <f t="shared" si="81"/>
        <v>0</v>
      </c>
      <c r="G406" s="445">
        <f t="shared" si="82"/>
        <v>0</v>
      </c>
      <c r="H406" s="451"/>
      <c r="I406" s="445">
        <f t="shared" si="83"/>
        <v>0</v>
      </c>
      <c r="J406" s="451"/>
      <c r="K406" s="451"/>
      <c r="L406" s="451"/>
      <c r="M406" s="451"/>
      <c r="N406" s="451"/>
      <c r="O406" s="451"/>
      <c r="P406" s="451"/>
      <c r="Q406" s="451"/>
      <c r="R406" s="451"/>
      <c r="S406" s="445">
        <f t="shared" si="84"/>
        <v>0</v>
      </c>
      <c r="T406" s="451"/>
      <c r="U406" s="451"/>
      <c r="V406" s="451"/>
    </row>
    <row r="407" spans="1:22" s="441" customFormat="1" ht="60" customHeight="1" hidden="1">
      <c r="A407" s="580"/>
      <c r="B407" s="570"/>
      <c r="C407" s="589">
        <v>4748</v>
      </c>
      <c r="D407" s="450" t="s">
        <v>199</v>
      </c>
      <c r="E407" s="502">
        <f t="shared" si="80"/>
        <v>0</v>
      </c>
      <c r="F407" s="445">
        <f t="shared" si="81"/>
        <v>0</v>
      </c>
      <c r="G407" s="445">
        <f t="shared" si="82"/>
        <v>0</v>
      </c>
      <c r="H407" s="451"/>
      <c r="I407" s="445">
        <f t="shared" si="83"/>
        <v>0</v>
      </c>
      <c r="J407" s="451"/>
      <c r="K407" s="451"/>
      <c r="L407" s="451"/>
      <c r="M407" s="451"/>
      <c r="N407" s="451"/>
      <c r="O407" s="451"/>
      <c r="P407" s="451"/>
      <c r="Q407" s="451"/>
      <c r="R407" s="451"/>
      <c r="S407" s="445">
        <f t="shared" si="84"/>
        <v>0</v>
      </c>
      <c r="T407" s="451"/>
      <c r="U407" s="451"/>
      <c r="V407" s="451"/>
    </row>
    <row r="408" spans="1:22" s="441" customFormat="1" ht="60" customHeight="1" hidden="1">
      <c r="A408" s="580"/>
      <c r="B408" s="570"/>
      <c r="C408" s="589">
        <v>4749</v>
      </c>
      <c r="D408" s="450" t="s">
        <v>199</v>
      </c>
      <c r="E408" s="502">
        <f t="shared" si="80"/>
        <v>0</v>
      </c>
      <c r="F408" s="445">
        <f t="shared" si="81"/>
        <v>0</v>
      </c>
      <c r="G408" s="445">
        <f t="shared" si="82"/>
        <v>0</v>
      </c>
      <c r="H408" s="451"/>
      <c r="I408" s="445">
        <f t="shared" si="83"/>
        <v>0</v>
      </c>
      <c r="J408" s="451"/>
      <c r="K408" s="451"/>
      <c r="L408" s="451"/>
      <c r="M408" s="451"/>
      <c r="N408" s="451"/>
      <c r="O408" s="451"/>
      <c r="P408" s="451"/>
      <c r="Q408" s="451"/>
      <c r="R408" s="451"/>
      <c r="S408" s="445">
        <f t="shared" si="84"/>
        <v>0</v>
      </c>
      <c r="T408" s="451"/>
      <c r="U408" s="451"/>
      <c r="V408" s="451"/>
    </row>
    <row r="409" spans="1:22" s="441" customFormat="1" ht="45" customHeight="1" hidden="1">
      <c r="A409" s="580"/>
      <c r="B409" s="570"/>
      <c r="C409" s="596">
        <v>4758</v>
      </c>
      <c r="D409" s="461" t="s">
        <v>239</v>
      </c>
      <c r="E409" s="502">
        <f t="shared" si="80"/>
        <v>0</v>
      </c>
      <c r="F409" s="445">
        <f t="shared" si="81"/>
        <v>0</v>
      </c>
      <c r="G409" s="445">
        <f t="shared" si="82"/>
        <v>0</v>
      </c>
      <c r="H409" s="451"/>
      <c r="I409" s="445">
        <f t="shared" si="83"/>
        <v>0</v>
      </c>
      <c r="J409" s="451"/>
      <c r="K409" s="451"/>
      <c r="L409" s="451"/>
      <c r="M409" s="451"/>
      <c r="N409" s="451"/>
      <c r="O409" s="451"/>
      <c r="P409" s="451"/>
      <c r="Q409" s="451"/>
      <c r="S409" s="445">
        <f t="shared" si="84"/>
        <v>0</v>
      </c>
      <c r="T409" s="451"/>
      <c r="U409" s="451"/>
      <c r="V409" s="451"/>
    </row>
    <row r="410" spans="1:22" s="441" customFormat="1" ht="45" customHeight="1" hidden="1">
      <c r="A410" s="580"/>
      <c r="B410" s="570"/>
      <c r="C410" s="596">
        <v>4759</v>
      </c>
      <c r="D410" s="461" t="s">
        <v>239</v>
      </c>
      <c r="E410" s="502">
        <f t="shared" si="80"/>
        <v>0</v>
      </c>
      <c r="F410" s="445">
        <f t="shared" si="81"/>
        <v>0</v>
      </c>
      <c r="G410" s="445">
        <f t="shared" si="82"/>
        <v>0</v>
      </c>
      <c r="H410" s="451"/>
      <c r="I410" s="445">
        <f t="shared" si="83"/>
        <v>0</v>
      </c>
      <c r="J410" s="451"/>
      <c r="K410" s="451"/>
      <c r="L410" s="451"/>
      <c r="M410" s="451"/>
      <c r="N410" s="451"/>
      <c r="O410" s="451"/>
      <c r="P410" s="451"/>
      <c r="Q410" s="451"/>
      <c r="R410" s="460"/>
      <c r="S410" s="445">
        <f t="shared" si="84"/>
        <v>0</v>
      </c>
      <c r="T410" s="451"/>
      <c r="U410" s="451"/>
      <c r="V410" s="451"/>
    </row>
    <row r="411" spans="1:22" s="446" customFormat="1" ht="15.75">
      <c r="A411" s="570">
        <v>851</v>
      </c>
      <c r="B411" s="570"/>
      <c r="C411" s="587"/>
      <c r="D411" s="311" t="s">
        <v>257</v>
      </c>
      <c r="E411" s="502">
        <f t="shared" si="80"/>
        <v>5920119</v>
      </c>
      <c r="F411" s="445">
        <f t="shared" si="81"/>
        <v>2930119</v>
      </c>
      <c r="G411" s="445">
        <f t="shared" si="82"/>
        <v>2930119</v>
      </c>
      <c r="H411" s="445">
        <f>SUM(H418+H414+H412)</f>
        <v>45000</v>
      </c>
      <c r="I411" s="699">
        <f t="shared" si="83"/>
        <v>2885119</v>
      </c>
      <c r="J411" s="445">
        <f aca="true" t="shared" si="85" ref="J411:R411">SUM(J418+J414+J412)</f>
        <v>0</v>
      </c>
      <c r="K411" s="445">
        <f t="shared" si="85"/>
        <v>0</v>
      </c>
      <c r="L411" s="445">
        <f t="shared" si="85"/>
        <v>0</v>
      </c>
      <c r="M411" s="445">
        <f t="shared" si="85"/>
        <v>2885119</v>
      </c>
      <c r="N411" s="445">
        <f t="shared" si="85"/>
        <v>0</v>
      </c>
      <c r="O411" s="445">
        <f t="shared" si="85"/>
        <v>0</v>
      </c>
      <c r="P411" s="445">
        <f t="shared" si="85"/>
        <v>0</v>
      </c>
      <c r="Q411" s="445">
        <f t="shared" si="85"/>
        <v>0</v>
      </c>
      <c r="R411" s="445">
        <f t="shared" si="85"/>
        <v>0</v>
      </c>
      <c r="S411" s="445">
        <f t="shared" si="84"/>
        <v>2990000</v>
      </c>
      <c r="T411" s="445">
        <f>SUM(T418+T414+T412)</f>
        <v>0</v>
      </c>
      <c r="U411" s="445">
        <f>SUM(U418+U414+U412)</f>
        <v>0</v>
      </c>
      <c r="V411" s="445">
        <f>SUM(V418+V414+V412)</f>
        <v>2990000</v>
      </c>
    </row>
    <row r="412" spans="1:22" s="449" customFormat="1" ht="15.75">
      <c r="A412" s="571"/>
      <c r="B412" s="571">
        <v>85111</v>
      </c>
      <c r="C412" s="588"/>
      <c r="D412" s="262" t="s">
        <v>499</v>
      </c>
      <c r="E412" s="502">
        <f t="shared" si="80"/>
        <v>2990000</v>
      </c>
      <c r="F412" s="445">
        <f t="shared" si="81"/>
        <v>0</v>
      </c>
      <c r="G412" s="445">
        <f t="shared" si="82"/>
        <v>0</v>
      </c>
      <c r="H412" s="448">
        <f aca="true" t="shared" si="86" ref="H412:V412">SUM(H413)</f>
        <v>0</v>
      </c>
      <c r="I412" s="699">
        <f t="shared" si="83"/>
        <v>0</v>
      </c>
      <c r="J412" s="448">
        <f t="shared" si="86"/>
        <v>0</v>
      </c>
      <c r="K412" s="448">
        <f t="shared" si="86"/>
        <v>0</v>
      </c>
      <c r="L412" s="448">
        <f t="shared" si="86"/>
        <v>0</v>
      </c>
      <c r="M412" s="448">
        <f t="shared" si="86"/>
        <v>0</v>
      </c>
      <c r="N412" s="448">
        <f t="shared" si="86"/>
        <v>0</v>
      </c>
      <c r="O412" s="448">
        <f t="shared" si="86"/>
        <v>0</v>
      </c>
      <c r="P412" s="448">
        <f t="shared" si="86"/>
        <v>0</v>
      </c>
      <c r="Q412" s="448">
        <f t="shared" si="86"/>
        <v>0</v>
      </c>
      <c r="R412" s="448">
        <f t="shared" si="86"/>
        <v>0</v>
      </c>
      <c r="S412" s="445">
        <f t="shared" si="84"/>
        <v>2990000</v>
      </c>
      <c r="T412" s="448">
        <f t="shared" si="86"/>
        <v>0</v>
      </c>
      <c r="U412" s="448">
        <f t="shared" si="86"/>
        <v>0</v>
      </c>
      <c r="V412" s="448">
        <f t="shared" si="86"/>
        <v>2990000</v>
      </c>
    </row>
    <row r="413" spans="1:22" s="441" customFormat="1" ht="75">
      <c r="A413" s="572"/>
      <c r="B413" s="572"/>
      <c r="C413" s="589">
        <v>6010</v>
      </c>
      <c r="D413" s="450" t="s">
        <v>500</v>
      </c>
      <c r="E413" s="502">
        <f t="shared" si="80"/>
        <v>2990000</v>
      </c>
      <c r="F413" s="445">
        <f t="shared" si="81"/>
        <v>0</v>
      </c>
      <c r="G413" s="445">
        <f t="shared" si="82"/>
        <v>0</v>
      </c>
      <c r="H413" s="451"/>
      <c r="I413" s="699">
        <f t="shared" si="83"/>
        <v>0</v>
      </c>
      <c r="J413" s="451"/>
      <c r="K413" s="451"/>
      <c r="L413" s="451"/>
      <c r="M413" s="451"/>
      <c r="N413" s="451"/>
      <c r="O413" s="451"/>
      <c r="P413" s="451"/>
      <c r="Q413" s="451"/>
      <c r="R413" s="451"/>
      <c r="S413" s="445">
        <f t="shared" si="84"/>
        <v>2990000</v>
      </c>
      <c r="T413" s="451"/>
      <c r="U413" s="451"/>
      <c r="V413" s="451">
        <v>2990000</v>
      </c>
    </row>
    <row r="414" spans="1:22" s="449" customFormat="1" ht="110.25">
      <c r="A414" s="571"/>
      <c r="B414" s="571">
        <v>85156</v>
      </c>
      <c r="C414" s="588"/>
      <c r="D414" s="262" t="s">
        <v>258</v>
      </c>
      <c r="E414" s="502">
        <f t="shared" si="80"/>
        <v>2885119</v>
      </c>
      <c r="F414" s="445">
        <f t="shared" si="81"/>
        <v>2885119</v>
      </c>
      <c r="G414" s="445">
        <f t="shared" si="82"/>
        <v>2885119</v>
      </c>
      <c r="H414" s="448">
        <f>SUM(H415:H417)</f>
        <v>0</v>
      </c>
      <c r="I414" s="699">
        <f t="shared" si="83"/>
        <v>2885119</v>
      </c>
      <c r="J414" s="448">
        <f>SUM(J415:J417)</f>
        <v>0</v>
      </c>
      <c r="K414" s="448">
        <f aca="true" t="shared" si="87" ref="K414:R414">SUM(K415:K417)</f>
        <v>0</v>
      </c>
      <c r="L414" s="448">
        <f t="shared" si="87"/>
        <v>0</v>
      </c>
      <c r="M414" s="448">
        <f t="shared" si="87"/>
        <v>2885119</v>
      </c>
      <c r="N414" s="448">
        <f t="shared" si="87"/>
        <v>0</v>
      </c>
      <c r="O414" s="448">
        <f t="shared" si="87"/>
        <v>0</v>
      </c>
      <c r="P414" s="448">
        <f>SUM(P415:P417)</f>
        <v>0</v>
      </c>
      <c r="Q414" s="448">
        <f t="shared" si="87"/>
        <v>0</v>
      </c>
      <c r="R414" s="448">
        <f t="shared" si="87"/>
        <v>0</v>
      </c>
      <c r="S414" s="445">
        <f t="shared" si="84"/>
        <v>0</v>
      </c>
      <c r="T414" s="448">
        <f>SUM(T415:T417)</f>
        <v>0</v>
      </c>
      <c r="U414" s="448">
        <f>SUM(U415:U417)</f>
        <v>0</v>
      </c>
      <c r="V414" s="448">
        <f>SUM(V415:V417)</f>
        <v>0</v>
      </c>
    </row>
    <row r="415" spans="1:22" s="441" customFormat="1" ht="45">
      <c r="A415" s="572"/>
      <c r="B415" s="572"/>
      <c r="C415" s="589">
        <v>4130</v>
      </c>
      <c r="D415" s="450" t="s">
        <v>259</v>
      </c>
      <c r="E415" s="536">
        <f t="shared" si="80"/>
        <v>2885119</v>
      </c>
      <c r="F415" s="445">
        <f t="shared" si="81"/>
        <v>2885119</v>
      </c>
      <c r="G415" s="445">
        <f t="shared" si="82"/>
        <v>2885119</v>
      </c>
      <c r="H415" s="451"/>
      <c r="I415" s="699">
        <f t="shared" si="83"/>
        <v>2885119</v>
      </c>
      <c r="J415" s="451"/>
      <c r="K415" s="451"/>
      <c r="L415" s="451"/>
      <c r="M415" s="451">
        <v>2885119</v>
      </c>
      <c r="N415" s="451"/>
      <c r="O415" s="451"/>
      <c r="P415" s="451"/>
      <c r="Q415" s="451"/>
      <c r="R415" s="451"/>
      <c r="S415" s="445">
        <f t="shared" si="84"/>
        <v>0</v>
      </c>
      <c r="T415" s="451"/>
      <c r="U415" s="451"/>
      <c r="V415" s="451"/>
    </row>
    <row r="416" spans="1:22" s="441" customFormat="1" ht="15.75">
      <c r="A416" s="572"/>
      <c r="B416" s="572"/>
      <c r="C416" s="589">
        <v>4430</v>
      </c>
      <c r="D416" s="450" t="s">
        <v>116</v>
      </c>
      <c r="E416" s="536">
        <f t="shared" si="80"/>
        <v>0</v>
      </c>
      <c r="F416" s="445">
        <f t="shared" si="81"/>
        <v>0</v>
      </c>
      <c r="G416" s="445">
        <f t="shared" si="82"/>
        <v>0</v>
      </c>
      <c r="H416" s="451"/>
      <c r="I416" s="699">
        <f t="shared" si="83"/>
        <v>0</v>
      </c>
      <c r="J416" s="451"/>
      <c r="K416" s="451"/>
      <c r="L416" s="451"/>
      <c r="M416" s="451"/>
      <c r="N416" s="451"/>
      <c r="O416" s="451"/>
      <c r="P416" s="451"/>
      <c r="Q416" s="451"/>
      <c r="R416" s="451"/>
      <c r="S416" s="445">
        <f t="shared" si="84"/>
        <v>0</v>
      </c>
      <c r="T416" s="451"/>
      <c r="U416" s="451"/>
      <c r="V416" s="451"/>
    </row>
    <row r="417" spans="1:22" s="441" customFormat="1" ht="15.75">
      <c r="A417" s="572"/>
      <c r="B417" s="572"/>
      <c r="C417" s="589">
        <v>4580</v>
      </c>
      <c r="D417" s="450" t="s">
        <v>642</v>
      </c>
      <c r="E417" s="536">
        <f t="shared" si="80"/>
        <v>0</v>
      </c>
      <c r="F417" s="445">
        <f t="shared" si="81"/>
        <v>0</v>
      </c>
      <c r="G417" s="445">
        <f t="shared" si="82"/>
        <v>0</v>
      </c>
      <c r="H417" s="451"/>
      <c r="I417" s="699">
        <f t="shared" si="83"/>
        <v>0</v>
      </c>
      <c r="J417" s="451"/>
      <c r="K417" s="451"/>
      <c r="L417" s="451"/>
      <c r="M417" s="451"/>
      <c r="N417" s="451"/>
      <c r="O417" s="451"/>
      <c r="P417" s="451"/>
      <c r="Q417" s="451"/>
      <c r="R417" s="451"/>
      <c r="S417" s="445">
        <f t="shared" si="84"/>
        <v>0</v>
      </c>
      <c r="T417" s="451"/>
      <c r="U417" s="451"/>
      <c r="V417" s="451"/>
    </row>
    <row r="418" spans="1:22" s="449" customFormat="1" ht="31.5">
      <c r="A418" s="571"/>
      <c r="B418" s="571">
        <v>85149</v>
      </c>
      <c r="C418" s="588"/>
      <c r="D418" s="262" t="s">
        <v>260</v>
      </c>
      <c r="E418" s="502">
        <f t="shared" si="80"/>
        <v>45000</v>
      </c>
      <c r="F418" s="445">
        <f t="shared" si="81"/>
        <v>45000</v>
      </c>
      <c r="G418" s="445">
        <f t="shared" si="82"/>
        <v>45000</v>
      </c>
      <c r="H418" s="448">
        <f aca="true" t="shared" si="88" ref="H418:R418">H419</f>
        <v>45000</v>
      </c>
      <c r="I418" s="445">
        <f t="shared" si="83"/>
        <v>0</v>
      </c>
      <c r="J418" s="448">
        <f t="shared" si="88"/>
        <v>0</v>
      </c>
      <c r="K418" s="448">
        <f t="shared" si="88"/>
        <v>0</v>
      </c>
      <c r="L418" s="448">
        <f t="shared" si="88"/>
        <v>0</v>
      </c>
      <c r="M418" s="448">
        <f t="shared" si="88"/>
        <v>0</v>
      </c>
      <c r="N418" s="448">
        <f t="shared" si="88"/>
        <v>0</v>
      </c>
      <c r="O418" s="448">
        <f t="shared" si="88"/>
        <v>0</v>
      </c>
      <c r="P418" s="448">
        <f t="shared" si="88"/>
        <v>0</v>
      </c>
      <c r="Q418" s="448">
        <f t="shared" si="88"/>
        <v>0</v>
      </c>
      <c r="R418" s="448">
        <f t="shared" si="88"/>
        <v>0</v>
      </c>
      <c r="S418" s="445">
        <f t="shared" si="84"/>
        <v>0</v>
      </c>
      <c r="T418" s="448"/>
      <c r="U418" s="448"/>
      <c r="V418" s="448"/>
    </row>
    <row r="419" spans="1:22" s="441" customFormat="1" ht="30">
      <c r="A419" s="572"/>
      <c r="B419" s="572"/>
      <c r="C419" s="589">
        <v>4280</v>
      </c>
      <c r="D419" s="450" t="s">
        <v>261</v>
      </c>
      <c r="E419" s="502">
        <f t="shared" si="80"/>
        <v>45000</v>
      </c>
      <c r="F419" s="445">
        <f t="shared" si="81"/>
        <v>45000</v>
      </c>
      <c r="G419" s="445">
        <f t="shared" si="82"/>
        <v>45000</v>
      </c>
      <c r="H419" s="451">
        <v>45000</v>
      </c>
      <c r="I419" s="445">
        <f t="shared" si="83"/>
        <v>0</v>
      </c>
      <c r="J419" s="451"/>
      <c r="K419" s="451"/>
      <c r="L419" s="451"/>
      <c r="M419" s="451"/>
      <c r="N419" s="451"/>
      <c r="O419" s="451"/>
      <c r="P419" s="451"/>
      <c r="Q419" s="451"/>
      <c r="R419" s="451"/>
      <c r="S419" s="445">
        <f t="shared" si="84"/>
        <v>0</v>
      </c>
      <c r="T419" s="451"/>
      <c r="U419" s="451"/>
      <c r="V419" s="451"/>
    </row>
    <row r="420" spans="1:22" s="446" customFormat="1" ht="15.75">
      <c r="A420" s="570">
        <v>852</v>
      </c>
      <c r="B420" s="570"/>
      <c r="C420" s="587"/>
      <c r="D420" s="311" t="s">
        <v>262</v>
      </c>
      <c r="E420" s="502">
        <f t="shared" si="80"/>
        <v>18389329</v>
      </c>
      <c r="F420" s="445">
        <f t="shared" si="81"/>
        <v>15732715</v>
      </c>
      <c r="G420" s="445">
        <f t="shared" si="82"/>
        <v>13269624</v>
      </c>
      <c r="H420" s="445">
        <f>SUM(H421+H449+H479+H504+H510+H535+H547+H550)</f>
        <v>4231328</v>
      </c>
      <c r="I420" s="445">
        <f t="shared" si="83"/>
        <v>9038296</v>
      </c>
      <c r="J420" s="445">
        <f aca="true" t="shared" si="89" ref="J420:R420">SUM(J421+J449+J479+J504+J510+J535+J547+J550)</f>
        <v>6799993</v>
      </c>
      <c r="K420" s="445">
        <f t="shared" si="89"/>
        <v>535767</v>
      </c>
      <c r="L420" s="445">
        <f t="shared" si="89"/>
        <v>1355176</v>
      </c>
      <c r="M420" s="445">
        <f>SUM(M421+M449+M479+M504+M510+M535+M547+M550)</f>
        <v>347360</v>
      </c>
      <c r="N420" s="445">
        <f>SUM(N421+N449+N479+N504+N510+N535+N547+N550)</f>
        <v>1900337</v>
      </c>
      <c r="O420" s="445">
        <f t="shared" si="89"/>
        <v>562754</v>
      </c>
      <c r="P420" s="445">
        <f>SUM(P421+P449+P479+P504+P510+P535+P547+P550)</f>
        <v>0</v>
      </c>
      <c r="Q420" s="445">
        <f t="shared" si="89"/>
        <v>0</v>
      </c>
      <c r="R420" s="445">
        <f t="shared" si="89"/>
        <v>0</v>
      </c>
      <c r="S420" s="445">
        <f t="shared" si="84"/>
        <v>2656614</v>
      </c>
      <c r="T420" s="445">
        <f>SUM(T421+T449+T479+T504+T510+T535+T547+T550)</f>
        <v>2656614</v>
      </c>
      <c r="U420" s="445">
        <f>SUM(U421+U449+U479+U504+U510+U535+U547+U550)</f>
        <v>2582614</v>
      </c>
      <c r="V420" s="445">
        <f>SUM(V421+V449+V479+V504+V510+V535+V547+V550)</f>
        <v>0</v>
      </c>
    </row>
    <row r="421" spans="1:22" s="449" customFormat="1" ht="31.5">
      <c r="A421" s="571"/>
      <c r="B421" s="571">
        <v>85201</v>
      </c>
      <c r="C421" s="588"/>
      <c r="D421" s="262" t="s">
        <v>263</v>
      </c>
      <c r="E421" s="502">
        <f t="shared" si="80"/>
        <v>1724511</v>
      </c>
      <c r="F421" s="445">
        <f t="shared" si="81"/>
        <v>1724511</v>
      </c>
      <c r="G421" s="445">
        <f t="shared" si="82"/>
        <v>1274931</v>
      </c>
      <c r="H421" s="448">
        <f>SUM(H422:H448)</f>
        <v>267933</v>
      </c>
      <c r="I421" s="445">
        <f t="shared" si="83"/>
        <v>1006998</v>
      </c>
      <c r="J421" s="448">
        <f>SUM(J422:J448)</f>
        <v>794146</v>
      </c>
      <c r="K421" s="448">
        <f aca="true" t="shared" si="90" ref="K421:R421">SUM(K422:K448)</f>
        <v>58284</v>
      </c>
      <c r="L421" s="448">
        <f t="shared" si="90"/>
        <v>150568</v>
      </c>
      <c r="M421" s="448">
        <f>SUM(M422:M448)</f>
        <v>4000</v>
      </c>
      <c r="N421" s="448">
        <f>SUM(N422:N448)</f>
        <v>82580</v>
      </c>
      <c r="O421" s="448">
        <f t="shared" si="90"/>
        <v>367000</v>
      </c>
      <c r="P421" s="448">
        <f>SUM(P422:P448)</f>
        <v>0</v>
      </c>
      <c r="Q421" s="448">
        <f t="shared" si="90"/>
        <v>0</v>
      </c>
      <c r="R421" s="448">
        <f t="shared" si="90"/>
        <v>0</v>
      </c>
      <c r="S421" s="445">
        <f t="shared" si="84"/>
        <v>0</v>
      </c>
      <c r="T421" s="448">
        <f>SUM(T422:T448)</f>
        <v>0</v>
      </c>
      <c r="U421" s="448">
        <f>SUM(U422:U448)</f>
        <v>0</v>
      </c>
      <c r="V421" s="448">
        <f>SUM(V422:V448)</f>
        <v>0</v>
      </c>
    </row>
    <row r="422" spans="1:22" s="441" customFormat="1" ht="128.25" customHeight="1">
      <c r="A422" s="572"/>
      <c r="B422" s="572"/>
      <c r="C422" s="589">
        <v>2320</v>
      </c>
      <c r="D422" s="450" t="s">
        <v>264</v>
      </c>
      <c r="E422" s="502">
        <f t="shared" si="80"/>
        <v>367000</v>
      </c>
      <c r="F422" s="445">
        <f t="shared" si="81"/>
        <v>367000</v>
      </c>
      <c r="G422" s="445">
        <f t="shared" si="82"/>
        <v>0</v>
      </c>
      <c r="H422" s="460"/>
      <c r="I422" s="445">
        <f t="shared" si="83"/>
        <v>0</v>
      </c>
      <c r="J422" s="451"/>
      <c r="K422" s="451"/>
      <c r="L422" s="451"/>
      <c r="M422" s="451"/>
      <c r="N422" s="451"/>
      <c r="O422" s="451">
        <v>367000</v>
      </c>
      <c r="P422" s="451"/>
      <c r="Q422" s="451"/>
      <c r="R422" s="451"/>
      <c r="S422" s="445">
        <f t="shared" si="84"/>
        <v>0</v>
      </c>
      <c r="T422" s="451"/>
      <c r="U422" s="451"/>
      <c r="V422" s="451"/>
    </row>
    <row r="423" spans="1:22" s="441" customFormat="1" ht="34.5" customHeight="1">
      <c r="A423" s="572"/>
      <c r="B423" s="572"/>
      <c r="C423" s="589">
        <v>3020</v>
      </c>
      <c r="D423" s="450" t="s">
        <v>386</v>
      </c>
      <c r="E423" s="502">
        <f t="shared" si="80"/>
        <v>1500</v>
      </c>
      <c r="F423" s="445">
        <f t="shared" si="81"/>
        <v>1500</v>
      </c>
      <c r="G423" s="445">
        <f t="shared" si="82"/>
        <v>0</v>
      </c>
      <c r="H423" s="451"/>
      <c r="I423" s="445">
        <f t="shared" si="83"/>
        <v>0</v>
      </c>
      <c r="J423" s="451"/>
      <c r="K423" s="451"/>
      <c r="L423" s="451"/>
      <c r="M423" s="451"/>
      <c r="N423" s="451">
        <v>1500</v>
      </c>
      <c r="O423" s="451"/>
      <c r="P423" s="451"/>
      <c r="Q423" s="451"/>
      <c r="R423" s="451"/>
      <c r="S423" s="445">
        <f t="shared" si="84"/>
        <v>0</v>
      </c>
      <c r="T423" s="451"/>
      <c r="U423" s="451"/>
      <c r="V423" s="451"/>
    </row>
    <row r="424" spans="1:22" s="441" customFormat="1" ht="24.75" customHeight="1">
      <c r="A424" s="572"/>
      <c r="B424" s="572"/>
      <c r="C424" s="589">
        <v>3110</v>
      </c>
      <c r="D424" s="450" t="s">
        <v>265</v>
      </c>
      <c r="E424" s="502">
        <f t="shared" si="80"/>
        <v>81080</v>
      </c>
      <c r="F424" s="445">
        <f t="shared" si="81"/>
        <v>81080</v>
      </c>
      <c r="G424" s="445">
        <f t="shared" si="82"/>
        <v>0</v>
      </c>
      <c r="H424" s="451"/>
      <c r="I424" s="445">
        <f t="shared" si="83"/>
        <v>0</v>
      </c>
      <c r="J424" s="451"/>
      <c r="K424" s="451"/>
      <c r="L424" s="451"/>
      <c r="M424" s="451"/>
      <c r="N424" s="451">
        <v>81080</v>
      </c>
      <c r="O424" s="451"/>
      <c r="P424" s="451"/>
      <c r="Q424" s="451"/>
      <c r="R424" s="451"/>
      <c r="S424" s="445">
        <f t="shared" si="84"/>
        <v>0</v>
      </c>
      <c r="T424" s="451"/>
      <c r="U424" s="451"/>
      <c r="V424" s="451"/>
    </row>
    <row r="425" spans="1:22" s="441" customFormat="1" ht="30">
      <c r="A425" s="572"/>
      <c r="B425" s="572"/>
      <c r="C425" s="589">
        <v>4010</v>
      </c>
      <c r="D425" s="450" t="s">
        <v>102</v>
      </c>
      <c r="E425" s="502">
        <f t="shared" si="80"/>
        <v>794146</v>
      </c>
      <c r="F425" s="445">
        <f t="shared" si="81"/>
        <v>794146</v>
      </c>
      <c r="G425" s="445">
        <f t="shared" si="82"/>
        <v>794146</v>
      </c>
      <c r="H425" s="451"/>
      <c r="I425" s="445">
        <f t="shared" si="83"/>
        <v>794146</v>
      </c>
      <c r="J425" s="451">
        <v>794146</v>
      </c>
      <c r="K425" s="451"/>
      <c r="L425" s="451"/>
      <c r="M425" s="451"/>
      <c r="N425" s="451"/>
      <c r="O425" s="451"/>
      <c r="P425" s="451"/>
      <c r="Q425" s="451"/>
      <c r="R425" s="451"/>
      <c r="S425" s="445">
        <f t="shared" si="84"/>
        <v>0</v>
      </c>
      <c r="T425" s="451"/>
      <c r="U425" s="451"/>
      <c r="V425" s="451"/>
    </row>
    <row r="426" spans="1:22" s="441" customFormat="1" ht="30">
      <c r="A426" s="572"/>
      <c r="B426" s="572"/>
      <c r="C426" s="589">
        <v>4040</v>
      </c>
      <c r="D426" s="450" t="s">
        <v>103</v>
      </c>
      <c r="E426" s="502">
        <f t="shared" si="80"/>
        <v>58284</v>
      </c>
      <c r="F426" s="445">
        <f t="shared" si="81"/>
        <v>58284</v>
      </c>
      <c r="G426" s="445">
        <f t="shared" si="82"/>
        <v>58284</v>
      </c>
      <c r="H426" s="451"/>
      <c r="I426" s="445">
        <f t="shared" si="83"/>
        <v>58284</v>
      </c>
      <c r="J426" s="451"/>
      <c r="K426" s="451">
        <v>58284</v>
      </c>
      <c r="L426" s="451"/>
      <c r="M426" s="451"/>
      <c r="N426" s="451"/>
      <c r="O426" s="451"/>
      <c r="P426" s="451"/>
      <c r="Q426" s="451"/>
      <c r="R426" s="451"/>
      <c r="S426" s="445">
        <f t="shared" si="84"/>
        <v>0</v>
      </c>
      <c r="T426" s="451"/>
      <c r="U426" s="451"/>
      <c r="V426" s="451"/>
    </row>
    <row r="427" spans="1:22" s="441" customFormat="1" ht="45">
      <c r="A427" s="572"/>
      <c r="B427" s="572"/>
      <c r="C427" s="589">
        <v>4110</v>
      </c>
      <c r="D427" s="450" t="s">
        <v>104</v>
      </c>
      <c r="E427" s="502">
        <f t="shared" si="80"/>
        <v>130208</v>
      </c>
      <c r="F427" s="445">
        <f t="shared" si="81"/>
        <v>130208</v>
      </c>
      <c r="G427" s="445">
        <f t="shared" si="82"/>
        <v>130208</v>
      </c>
      <c r="H427" s="451"/>
      <c r="I427" s="445">
        <f t="shared" si="83"/>
        <v>130208</v>
      </c>
      <c r="J427" s="451"/>
      <c r="K427" s="451"/>
      <c r="L427" s="451">
        <v>130208</v>
      </c>
      <c r="M427" s="451"/>
      <c r="N427" s="451"/>
      <c r="O427" s="451"/>
      <c r="P427" s="451"/>
      <c r="Q427" s="451"/>
      <c r="R427" s="451"/>
      <c r="S427" s="445">
        <f t="shared" si="84"/>
        <v>0</v>
      </c>
      <c r="T427" s="451"/>
      <c r="U427" s="451"/>
      <c r="V427" s="451"/>
    </row>
    <row r="428" spans="1:22" s="441" customFormat="1" ht="30">
      <c r="A428" s="572"/>
      <c r="B428" s="572"/>
      <c r="C428" s="589">
        <v>4120</v>
      </c>
      <c r="D428" s="450" t="s">
        <v>105</v>
      </c>
      <c r="E428" s="502">
        <f t="shared" si="80"/>
        <v>20360</v>
      </c>
      <c r="F428" s="445">
        <f t="shared" si="81"/>
        <v>20360</v>
      </c>
      <c r="G428" s="445">
        <f t="shared" si="82"/>
        <v>20360</v>
      </c>
      <c r="H428" s="451"/>
      <c r="I428" s="445">
        <f t="shared" si="83"/>
        <v>20360</v>
      </c>
      <c r="J428" s="451"/>
      <c r="K428" s="451"/>
      <c r="L428" s="451">
        <v>20360</v>
      </c>
      <c r="M428" s="451"/>
      <c r="N428" s="451"/>
      <c r="O428" s="451"/>
      <c r="P428" s="451"/>
      <c r="Q428" s="451"/>
      <c r="R428" s="451"/>
      <c r="S428" s="445">
        <f t="shared" si="84"/>
        <v>0</v>
      </c>
      <c r="T428" s="451"/>
      <c r="U428" s="451"/>
      <c r="V428" s="451"/>
    </row>
    <row r="429" spans="1:22" s="441" customFormat="1" ht="33" customHeight="1">
      <c r="A429" s="580"/>
      <c r="B429" s="570"/>
      <c r="C429" s="596">
        <v>4170</v>
      </c>
      <c r="D429" s="461" t="s">
        <v>196</v>
      </c>
      <c r="E429" s="502">
        <f aca="true" t="shared" si="91" ref="E429:E494">F429+S429</f>
        <v>4000</v>
      </c>
      <c r="F429" s="445">
        <f t="shared" si="81"/>
        <v>4000</v>
      </c>
      <c r="G429" s="445">
        <f t="shared" si="82"/>
        <v>4000</v>
      </c>
      <c r="H429" s="451"/>
      <c r="I429" s="445">
        <f t="shared" si="83"/>
        <v>4000</v>
      </c>
      <c r="J429" s="451"/>
      <c r="K429" s="451"/>
      <c r="L429" s="462"/>
      <c r="M429" s="462">
        <v>4000</v>
      </c>
      <c r="N429" s="462"/>
      <c r="O429" s="451"/>
      <c r="P429" s="451"/>
      <c r="Q429" s="451"/>
      <c r="R429" s="462"/>
      <c r="S429" s="445">
        <f t="shared" si="84"/>
        <v>0</v>
      </c>
      <c r="T429" s="451"/>
      <c r="U429" s="451"/>
      <c r="V429" s="451"/>
    </row>
    <row r="430" spans="1:22" s="441" customFormat="1" ht="30">
      <c r="A430" s="572"/>
      <c r="B430" s="572"/>
      <c r="C430" s="589">
        <v>4210</v>
      </c>
      <c r="D430" s="450" t="s">
        <v>107</v>
      </c>
      <c r="E430" s="502">
        <f t="shared" si="91"/>
        <v>40624</v>
      </c>
      <c r="F430" s="445">
        <f aca="true" t="shared" si="92" ref="F430:F495">G430+N430+O430+P430+Q430+R430</f>
        <v>40624</v>
      </c>
      <c r="G430" s="445">
        <f aca="true" t="shared" si="93" ref="G430:G495">H430+I430</f>
        <v>40624</v>
      </c>
      <c r="H430" s="451">
        <v>40624</v>
      </c>
      <c r="I430" s="445">
        <f aca="true" t="shared" si="94" ref="I430:I495">SUM(J430:M430)</f>
        <v>0</v>
      </c>
      <c r="J430" s="451"/>
      <c r="K430" s="451"/>
      <c r="L430" s="451"/>
      <c r="M430" s="451"/>
      <c r="N430" s="451"/>
      <c r="O430" s="451"/>
      <c r="P430" s="451"/>
      <c r="Q430" s="451"/>
      <c r="R430" s="451"/>
      <c r="S430" s="445">
        <f aca="true" t="shared" si="95" ref="S430:S495">T430+V430</f>
        <v>0</v>
      </c>
      <c r="T430" s="451"/>
      <c r="U430" s="451"/>
      <c r="V430" s="451"/>
    </row>
    <row r="431" spans="1:22" s="441" customFormat="1" ht="39" customHeight="1">
      <c r="A431" s="572"/>
      <c r="B431" s="572"/>
      <c r="C431" s="589">
        <v>4220</v>
      </c>
      <c r="D431" s="450" t="s">
        <v>266</v>
      </c>
      <c r="E431" s="502">
        <f t="shared" si="91"/>
        <v>47300</v>
      </c>
      <c r="F431" s="445">
        <f t="shared" si="92"/>
        <v>47300</v>
      </c>
      <c r="G431" s="445">
        <f t="shared" si="93"/>
        <v>47300</v>
      </c>
      <c r="H431" s="451">
        <v>47300</v>
      </c>
      <c r="I431" s="445">
        <f t="shared" si="94"/>
        <v>0</v>
      </c>
      <c r="J431" s="451"/>
      <c r="K431" s="451"/>
      <c r="L431" s="451"/>
      <c r="M431" s="451"/>
      <c r="N431" s="451"/>
      <c r="O431" s="451"/>
      <c r="P431" s="451"/>
      <c r="Q431" s="451"/>
      <c r="R431" s="451"/>
      <c r="S431" s="445">
        <f t="shared" si="95"/>
        <v>0</v>
      </c>
      <c r="T431" s="451"/>
      <c r="U431" s="451"/>
      <c r="V431" s="451"/>
    </row>
    <row r="432" spans="1:22" s="441" customFormat="1" ht="45">
      <c r="A432" s="572"/>
      <c r="B432" s="572"/>
      <c r="C432" s="589">
        <v>4230</v>
      </c>
      <c r="D432" s="450" t="s">
        <v>590</v>
      </c>
      <c r="E432" s="502">
        <f t="shared" si="91"/>
        <v>3100</v>
      </c>
      <c r="F432" s="445">
        <f t="shared" si="92"/>
        <v>3100</v>
      </c>
      <c r="G432" s="445">
        <f t="shared" si="93"/>
        <v>3100</v>
      </c>
      <c r="H432" s="451">
        <v>3100</v>
      </c>
      <c r="I432" s="445">
        <f t="shared" si="94"/>
        <v>0</v>
      </c>
      <c r="J432" s="451"/>
      <c r="K432" s="451"/>
      <c r="L432" s="451"/>
      <c r="M432" s="451"/>
      <c r="N432" s="451"/>
      <c r="O432" s="451"/>
      <c r="P432" s="451"/>
      <c r="Q432" s="451"/>
      <c r="R432" s="451"/>
      <c r="S432" s="445">
        <f t="shared" si="95"/>
        <v>0</v>
      </c>
      <c r="T432" s="451"/>
      <c r="U432" s="451"/>
      <c r="V432" s="451"/>
    </row>
    <row r="433" spans="1:22" s="441" customFormat="1" ht="45">
      <c r="A433" s="572"/>
      <c r="B433" s="572"/>
      <c r="C433" s="589">
        <v>4240</v>
      </c>
      <c r="D433" s="450" t="s">
        <v>237</v>
      </c>
      <c r="E433" s="502">
        <f t="shared" si="91"/>
        <v>2100</v>
      </c>
      <c r="F433" s="445">
        <f t="shared" si="92"/>
        <v>2100</v>
      </c>
      <c r="G433" s="445">
        <f t="shared" si="93"/>
        <v>2100</v>
      </c>
      <c r="H433" s="451">
        <v>2100</v>
      </c>
      <c r="I433" s="445">
        <f t="shared" si="94"/>
        <v>0</v>
      </c>
      <c r="J433" s="451"/>
      <c r="K433" s="451"/>
      <c r="L433" s="451"/>
      <c r="M433" s="451"/>
      <c r="N433" s="451"/>
      <c r="O433" s="451"/>
      <c r="P433" s="451"/>
      <c r="Q433" s="451"/>
      <c r="R433" s="451"/>
      <c r="S433" s="445">
        <f t="shared" si="95"/>
        <v>0</v>
      </c>
      <c r="T433" s="451"/>
      <c r="U433" s="451"/>
      <c r="V433" s="451"/>
    </row>
    <row r="434" spans="1:22" s="441" customFormat="1" ht="15.75">
      <c r="A434" s="572"/>
      <c r="B434" s="572"/>
      <c r="C434" s="589">
        <v>4260</v>
      </c>
      <c r="D434" s="450" t="s">
        <v>108</v>
      </c>
      <c r="E434" s="502">
        <f t="shared" si="91"/>
        <v>76250</v>
      </c>
      <c r="F434" s="445">
        <f t="shared" si="92"/>
        <v>76250</v>
      </c>
      <c r="G434" s="445">
        <f t="shared" si="93"/>
        <v>76250</v>
      </c>
      <c r="H434" s="451">
        <v>76250</v>
      </c>
      <c r="I434" s="445">
        <f t="shared" si="94"/>
        <v>0</v>
      </c>
      <c r="J434" s="451"/>
      <c r="K434" s="451"/>
      <c r="L434" s="451"/>
      <c r="M434" s="451"/>
      <c r="N434" s="451"/>
      <c r="O434" s="451"/>
      <c r="P434" s="451"/>
      <c r="Q434" s="451"/>
      <c r="R434" s="451"/>
      <c r="S434" s="445">
        <f t="shared" si="95"/>
        <v>0</v>
      </c>
      <c r="T434" s="451"/>
      <c r="U434" s="451"/>
      <c r="V434" s="451"/>
    </row>
    <row r="435" spans="1:22" s="441" customFormat="1" ht="30">
      <c r="A435" s="572"/>
      <c r="B435" s="572"/>
      <c r="C435" s="589">
        <v>4270</v>
      </c>
      <c r="D435" s="450" t="s">
        <v>124</v>
      </c>
      <c r="E435" s="502">
        <f t="shared" si="91"/>
        <v>8600</v>
      </c>
      <c r="F435" s="445">
        <f t="shared" si="92"/>
        <v>8600</v>
      </c>
      <c r="G435" s="445">
        <f t="shared" si="93"/>
        <v>8600</v>
      </c>
      <c r="H435" s="451">
        <v>8600</v>
      </c>
      <c r="I435" s="445">
        <f t="shared" si="94"/>
        <v>0</v>
      </c>
      <c r="J435" s="451"/>
      <c r="K435" s="451"/>
      <c r="L435" s="451"/>
      <c r="M435" s="451"/>
      <c r="N435" s="451"/>
      <c r="O435" s="451"/>
      <c r="P435" s="451"/>
      <c r="Q435" s="451"/>
      <c r="R435" s="451"/>
      <c r="S435" s="445">
        <f t="shared" si="95"/>
        <v>0</v>
      </c>
      <c r="T435" s="451"/>
      <c r="U435" s="451"/>
      <c r="V435" s="451"/>
    </row>
    <row r="436" spans="1:22" s="441" customFormat="1" ht="15.75">
      <c r="A436" s="572"/>
      <c r="B436" s="572"/>
      <c r="C436" s="589">
        <v>4280</v>
      </c>
      <c r="D436" s="450" t="s">
        <v>110</v>
      </c>
      <c r="E436" s="502">
        <f t="shared" si="91"/>
        <v>300</v>
      </c>
      <c r="F436" s="445">
        <f t="shared" si="92"/>
        <v>300</v>
      </c>
      <c r="G436" s="445">
        <f t="shared" si="93"/>
        <v>300</v>
      </c>
      <c r="H436" s="451">
        <v>300</v>
      </c>
      <c r="I436" s="445">
        <f t="shared" si="94"/>
        <v>0</v>
      </c>
      <c r="J436" s="451"/>
      <c r="K436" s="451"/>
      <c r="L436" s="451"/>
      <c r="M436" s="451"/>
      <c r="N436" s="451"/>
      <c r="O436" s="451"/>
      <c r="P436" s="451"/>
      <c r="Q436" s="451"/>
      <c r="R436" s="451"/>
      <c r="S436" s="445">
        <f t="shared" si="95"/>
        <v>0</v>
      </c>
      <c r="T436" s="451"/>
      <c r="U436" s="451"/>
      <c r="V436" s="451"/>
    </row>
    <row r="437" spans="1:22" s="441" customFormat="1" ht="30.75" customHeight="1">
      <c r="A437" s="572"/>
      <c r="B437" s="572"/>
      <c r="C437" s="589">
        <v>4300</v>
      </c>
      <c r="D437" s="450" t="s">
        <v>207</v>
      </c>
      <c r="E437" s="502">
        <f t="shared" si="91"/>
        <v>19640</v>
      </c>
      <c r="F437" s="445">
        <f t="shared" si="92"/>
        <v>19640</v>
      </c>
      <c r="G437" s="445">
        <f t="shared" si="93"/>
        <v>19640</v>
      </c>
      <c r="H437" s="451">
        <v>19640</v>
      </c>
      <c r="I437" s="445">
        <f t="shared" si="94"/>
        <v>0</v>
      </c>
      <c r="J437" s="451"/>
      <c r="K437" s="451"/>
      <c r="L437" s="451"/>
      <c r="M437" s="451"/>
      <c r="N437" s="451"/>
      <c r="O437" s="451"/>
      <c r="P437" s="451"/>
      <c r="Q437" s="451"/>
      <c r="R437" s="451"/>
      <c r="S437" s="445">
        <f t="shared" si="95"/>
        <v>0</v>
      </c>
      <c r="T437" s="451"/>
      <c r="U437" s="451"/>
      <c r="V437" s="451"/>
    </row>
    <row r="438" spans="1:22" s="441" customFormat="1" ht="30">
      <c r="A438" s="572"/>
      <c r="B438" s="572"/>
      <c r="C438" s="589">
        <v>4350</v>
      </c>
      <c r="D438" s="450" t="s">
        <v>111</v>
      </c>
      <c r="E438" s="502">
        <f t="shared" si="91"/>
        <v>1600</v>
      </c>
      <c r="F438" s="445">
        <f t="shared" si="92"/>
        <v>1600</v>
      </c>
      <c r="G438" s="445">
        <f t="shared" si="93"/>
        <v>1600</v>
      </c>
      <c r="H438" s="451">
        <v>1600</v>
      </c>
      <c r="I438" s="445">
        <f t="shared" si="94"/>
        <v>0</v>
      </c>
      <c r="J438" s="451"/>
      <c r="K438" s="451"/>
      <c r="L438" s="451"/>
      <c r="M438" s="451"/>
      <c r="N438" s="451"/>
      <c r="O438" s="451"/>
      <c r="P438" s="451"/>
      <c r="Q438" s="451"/>
      <c r="R438" s="451"/>
      <c r="S438" s="445">
        <f t="shared" si="95"/>
        <v>0</v>
      </c>
      <c r="T438" s="451"/>
      <c r="U438" s="451"/>
      <c r="V438" s="451"/>
    </row>
    <row r="439" spans="1:22" s="441" customFormat="1" ht="60">
      <c r="A439" s="572"/>
      <c r="B439" s="572"/>
      <c r="C439" s="589">
        <v>4360</v>
      </c>
      <c r="D439" s="450" t="s">
        <v>245</v>
      </c>
      <c r="E439" s="502">
        <f t="shared" si="91"/>
        <v>1300</v>
      </c>
      <c r="F439" s="445">
        <f t="shared" si="92"/>
        <v>1300</v>
      </c>
      <c r="G439" s="445">
        <f t="shared" si="93"/>
        <v>1300</v>
      </c>
      <c r="H439" s="451">
        <v>1300</v>
      </c>
      <c r="I439" s="445">
        <f t="shared" si="94"/>
        <v>0</v>
      </c>
      <c r="J439" s="451"/>
      <c r="K439" s="451"/>
      <c r="L439" s="451"/>
      <c r="M439" s="451"/>
      <c r="N439" s="451"/>
      <c r="O439" s="451"/>
      <c r="P439" s="451"/>
      <c r="Q439" s="451"/>
      <c r="R439" s="451"/>
      <c r="S439" s="445">
        <f t="shared" si="95"/>
        <v>0</v>
      </c>
      <c r="T439" s="451"/>
      <c r="U439" s="451"/>
      <c r="V439" s="451"/>
    </row>
    <row r="440" spans="1:22" s="441" customFormat="1" ht="60">
      <c r="A440" s="572"/>
      <c r="B440" s="572"/>
      <c r="C440" s="589">
        <v>4370</v>
      </c>
      <c r="D440" s="450" t="s">
        <v>238</v>
      </c>
      <c r="E440" s="502">
        <f t="shared" si="91"/>
        <v>3200</v>
      </c>
      <c r="F440" s="445">
        <f t="shared" si="92"/>
        <v>3200</v>
      </c>
      <c r="G440" s="445">
        <f t="shared" si="93"/>
        <v>3200</v>
      </c>
      <c r="H440" s="451">
        <v>3200</v>
      </c>
      <c r="I440" s="445">
        <f t="shared" si="94"/>
        <v>0</v>
      </c>
      <c r="J440" s="451"/>
      <c r="K440" s="451"/>
      <c r="L440" s="451"/>
      <c r="M440" s="451"/>
      <c r="N440" s="451"/>
      <c r="O440" s="451"/>
      <c r="P440" s="451"/>
      <c r="Q440" s="451"/>
      <c r="R440" s="451"/>
      <c r="S440" s="445">
        <f t="shared" si="95"/>
        <v>0</v>
      </c>
      <c r="T440" s="451"/>
      <c r="U440" s="451"/>
      <c r="V440" s="451"/>
    </row>
    <row r="441" spans="1:22" s="441" customFormat="1" ht="30">
      <c r="A441" s="572"/>
      <c r="B441" s="572"/>
      <c r="C441" s="589">
        <v>4410</v>
      </c>
      <c r="D441" s="450" t="s">
        <v>115</v>
      </c>
      <c r="E441" s="502">
        <f t="shared" si="91"/>
        <v>3200</v>
      </c>
      <c r="F441" s="445">
        <f t="shared" si="92"/>
        <v>3200</v>
      </c>
      <c r="G441" s="445">
        <f t="shared" si="93"/>
        <v>3200</v>
      </c>
      <c r="H441" s="451">
        <v>3200</v>
      </c>
      <c r="I441" s="445">
        <f t="shared" si="94"/>
        <v>0</v>
      </c>
      <c r="J441" s="451"/>
      <c r="K441" s="451"/>
      <c r="L441" s="451"/>
      <c r="M441" s="451"/>
      <c r="N441" s="451"/>
      <c r="O441" s="451"/>
      <c r="P441" s="451"/>
      <c r="Q441" s="451"/>
      <c r="R441" s="451"/>
      <c r="S441" s="445">
        <f t="shared" si="95"/>
        <v>0</v>
      </c>
      <c r="T441" s="451"/>
      <c r="U441" s="451"/>
      <c r="V441" s="451"/>
    </row>
    <row r="442" spans="1:22" s="441" customFormat="1" ht="15.75">
      <c r="A442" s="572"/>
      <c r="B442" s="572"/>
      <c r="C442" s="589">
        <v>4430</v>
      </c>
      <c r="D442" s="450" t="s">
        <v>116</v>
      </c>
      <c r="E442" s="502">
        <f t="shared" si="91"/>
        <v>3100</v>
      </c>
      <c r="F442" s="445">
        <f t="shared" si="92"/>
        <v>3100</v>
      </c>
      <c r="G442" s="445">
        <f t="shared" si="93"/>
        <v>3100</v>
      </c>
      <c r="H442" s="451">
        <v>3100</v>
      </c>
      <c r="I442" s="445">
        <f t="shared" si="94"/>
        <v>0</v>
      </c>
      <c r="J442" s="451"/>
      <c r="K442" s="451"/>
      <c r="L442" s="451"/>
      <c r="M442" s="451"/>
      <c r="N442" s="451"/>
      <c r="O442" s="451"/>
      <c r="P442" s="451"/>
      <c r="Q442" s="451"/>
      <c r="R442" s="451"/>
      <c r="S442" s="445">
        <f t="shared" si="95"/>
        <v>0</v>
      </c>
      <c r="T442" s="451"/>
      <c r="U442" s="451"/>
      <c r="V442" s="451"/>
    </row>
    <row r="443" spans="1:22" s="441" customFormat="1" ht="45">
      <c r="A443" s="572"/>
      <c r="B443" s="572"/>
      <c r="C443" s="589">
        <v>4440</v>
      </c>
      <c r="D443" s="450" t="s">
        <v>117</v>
      </c>
      <c r="E443" s="502">
        <f t="shared" si="91"/>
        <v>40020</v>
      </c>
      <c r="F443" s="445">
        <f t="shared" si="92"/>
        <v>40020</v>
      </c>
      <c r="G443" s="445">
        <f t="shared" si="93"/>
        <v>40020</v>
      </c>
      <c r="H443" s="451">
        <v>40020</v>
      </c>
      <c r="I443" s="445">
        <f t="shared" si="94"/>
        <v>0</v>
      </c>
      <c r="J443" s="451"/>
      <c r="K443" s="451"/>
      <c r="L443" s="451"/>
      <c r="M443" s="451"/>
      <c r="N443" s="451"/>
      <c r="O443" s="451"/>
      <c r="P443" s="451"/>
      <c r="Q443" s="451"/>
      <c r="R443" s="451"/>
      <c r="S443" s="445">
        <f t="shared" si="95"/>
        <v>0</v>
      </c>
      <c r="T443" s="451"/>
      <c r="U443" s="451"/>
      <c r="V443" s="451"/>
    </row>
    <row r="444" spans="1:22" s="441" customFormat="1" ht="30">
      <c r="A444" s="572"/>
      <c r="B444" s="572"/>
      <c r="C444" s="589">
        <v>4480</v>
      </c>
      <c r="D444" s="450" t="s">
        <v>118</v>
      </c>
      <c r="E444" s="502">
        <f t="shared" si="91"/>
        <v>8041</v>
      </c>
      <c r="F444" s="445">
        <f t="shared" si="92"/>
        <v>8041</v>
      </c>
      <c r="G444" s="445">
        <f t="shared" si="93"/>
        <v>8041</v>
      </c>
      <c r="H444" s="451">
        <v>8041</v>
      </c>
      <c r="I444" s="445">
        <f t="shared" si="94"/>
        <v>0</v>
      </c>
      <c r="J444" s="451"/>
      <c r="K444" s="451"/>
      <c r="L444" s="451"/>
      <c r="M444" s="451"/>
      <c r="N444" s="451"/>
      <c r="O444" s="451"/>
      <c r="P444" s="451"/>
      <c r="Q444" s="451"/>
      <c r="R444" s="451"/>
      <c r="S444" s="445">
        <f t="shared" si="95"/>
        <v>0</v>
      </c>
      <c r="T444" s="451"/>
      <c r="U444" s="451"/>
      <c r="V444" s="451"/>
    </row>
    <row r="445" spans="1:22" s="441" customFormat="1" ht="30">
      <c r="A445" s="572"/>
      <c r="B445" s="572"/>
      <c r="C445" s="589">
        <v>4520</v>
      </c>
      <c r="D445" s="450" t="s">
        <v>267</v>
      </c>
      <c r="E445" s="502">
        <f t="shared" si="91"/>
        <v>3158</v>
      </c>
      <c r="F445" s="445">
        <f t="shared" si="92"/>
        <v>3158</v>
      </c>
      <c r="G445" s="445">
        <f t="shared" si="93"/>
        <v>3158</v>
      </c>
      <c r="H445" s="451">
        <v>3158</v>
      </c>
      <c r="I445" s="445">
        <f t="shared" si="94"/>
        <v>0</v>
      </c>
      <c r="J445" s="451"/>
      <c r="K445" s="451"/>
      <c r="L445" s="451"/>
      <c r="M445" s="451"/>
      <c r="N445" s="451"/>
      <c r="O445" s="451"/>
      <c r="P445" s="451"/>
      <c r="Q445" s="451"/>
      <c r="R445" s="451"/>
      <c r="S445" s="445">
        <f t="shared" si="95"/>
        <v>0</v>
      </c>
      <c r="T445" s="451"/>
      <c r="U445" s="451"/>
      <c r="V445" s="451"/>
    </row>
    <row r="446" spans="1:22" s="441" customFormat="1" ht="60">
      <c r="A446" s="572"/>
      <c r="B446" s="572"/>
      <c r="C446" s="589">
        <v>4740</v>
      </c>
      <c r="D446" s="450" t="s">
        <v>199</v>
      </c>
      <c r="E446" s="502">
        <f t="shared" si="91"/>
        <v>1300</v>
      </c>
      <c r="F446" s="445">
        <f t="shared" si="92"/>
        <v>1300</v>
      </c>
      <c r="G446" s="445">
        <f t="shared" si="93"/>
        <v>1300</v>
      </c>
      <c r="H446" s="451">
        <v>1300</v>
      </c>
      <c r="I446" s="445">
        <f t="shared" si="94"/>
        <v>0</v>
      </c>
      <c r="J446" s="451"/>
      <c r="K446" s="451"/>
      <c r="L446" s="451"/>
      <c r="M446" s="451"/>
      <c r="N446" s="451"/>
      <c r="O446" s="451"/>
      <c r="P446" s="451"/>
      <c r="Q446" s="451"/>
      <c r="R446" s="451"/>
      <c r="S446" s="445">
        <f t="shared" si="95"/>
        <v>0</v>
      </c>
      <c r="T446" s="451"/>
      <c r="U446" s="451"/>
      <c r="V446" s="451"/>
    </row>
    <row r="447" spans="1:22" s="441" customFormat="1" ht="45">
      <c r="A447" s="572"/>
      <c r="B447" s="572"/>
      <c r="C447" s="589">
        <v>4750</v>
      </c>
      <c r="D447" s="450" t="s">
        <v>239</v>
      </c>
      <c r="E447" s="502">
        <f t="shared" si="91"/>
        <v>5100</v>
      </c>
      <c r="F447" s="445">
        <f t="shared" si="92"/>
        <v>5100</v>
      </c>
      <c r="G447" s="445">
        <f t="shared" si="93"/>
        <v>5100</v>
      </c>
      <c r="H447" s="451">
        <f>1100+4000</f>
        <v>5100</v>
      </c>
      <c r="I447" s="445">
        <f t="shared" si="94"/>
        <v>0</v>
      </c>
      <c r="J447" s="451"/>
      <c r="K447" s="451"/>
      <c r="L447" s="451"/>
      <c r="M447" s="451"/>
      <c r="N447" s="451"/>
      <c r="O447" s="451"/>
      <c r="P447" s="451"/>
      <c r="Q447" s="451"/>
      <c r="R447" s="451"/>
      <c r="S447" s="445">
        <f t="shared" si="95"/>
        <v>0</v>
      </c>
      <c r="T447" s="451"/>
      <c r="U447" s="451"/>
      <c r="V447" s="451"/>
    </row>
    <row r="448" spans="1:22" s="441" customFormat="1" ht="30">
      <c r="A448" s="580"/>
      <c r="B448" s="570"/>
      <c r="C448" s="589">
        <v>6050</v>
      </c>
      <c r="D448" s="450" t="s">
        <v>605</v>
      </c>
      <c r="E448" s="502">
        <f t="shared" si="91"/>
        <v>0</v>
      </c>
      <c r="F448" s="445">
        <f t="shared" si="92"/>
        <v>0</v>
      </c>
      <c r="G448" s="445">
        <f t="shared" si="93"/>
        <v>0</v>
      </c>
      <c r="H448" s="451"/>
      <c r="I448" s="445">
        <f t="shared" si="94"/>
        <v>0</v>
      </c>
      <c r="J448" s="451"/>
      <c r="K448" s="451"/>
      <c r="L448" s="451"/>
      <c r="M448" s="451"/>
      <c r="N448" s="451"/>
      <c r="O448" s="451"/>
      <c r="P448" s="451"/>
      <c r="Q448" s="451"/>
      <c r="R448" s="451"/>
      <c r="S448" s="445">
        <f t="shared" si="95"/>
        <v>0</v>
      </c>
      <c r="T448" s="451"/>
      <c r="U448" s="451"/>
      <c r="V448" s="451"/>
    </row>
    <row r="449" spans="1:22" s="449" customFormat="1" ht="31.5">
      <c r="A449" s="579"/>
      <c r="B449" s="571">
        <v>85202</v>
      </c>
      <c r="C449" s="588"/>
      <c r="D449" s="262" t="s">
        <v>268</v>
      </c>
      <c r="E449" s="502">
        <f t="shared" si="91"/>
        <v>12887728</v>
      </c>
      <c r="F449" s="445">
        <f t="shared" si="92"/>
        <v>10255114</v>
      </c>
      <c r="G449" s="445">
        <f t="shared" si="93"/>
        <v>10228514</v>
      </c>
      <c r="H449" s="448">
        <f>SUM(H450:H478)</f>
        <v>3540385</v>
      </c>
      <c r="I449" s="445">
        <f t="shared" si="94"/>
        <v>6688129</v>
      </c>
      <c r="J449" s="448">
        <f aca="true" t="shared" si="96" ref="J449:R449">SUM(J450:J478)</f>
        <v>5146608</v>
      </c>
      <c r="K449" s="448">
        <f t="shared" si="96"/>
        <v>412049</v>
      </c>
      <c r="L449" s="448">
        <f t="shared" si="96"/>
        <v>1008472</v>
      </c>
      <c r="M449" s="448">
        <f t="shared" si="96"/>
        <v>121000</v>
      </c>
      <c r="N449" s="448">
        <f t="shared" si="96"/>
        <v>26600</v>
      </c>
      <c r="O449" s="448">
        <f t="shared" si="96"/>
        <v>0</v>
      </c>
      <c r="P449" s="448">
        <f>SUM(P450:P478)</f>
        <v>0</v>
      </c>
      <c r="Q449" s="448">
        <f t="shared" si="96"/>
        <v>0</v>
      </c>
      <c r="R449" s="448">
        <f t="shared" si="96"/>
        <v>0</v>
      </c>
      <c r="S449" s="445">
        <f t="shared" si="95"/>
        <v>2632614</v>
      </c>
      <c r="T449" s="448">
        <f>SUM(T450:T478)</f>
        <v>2632614</v>
      </c>
      <c r="U449" s="448">
        <f>SUM(U450:U478)</f>
        <v>2582614</v>
      </c>
      <c r="V449" s="448">
        <f>SUM(V450:V478)</f>
        <v>0</v>
      </c>
    </row>
    <row r="450" spans="1:22" s="441" customFormat="1" ht="47.25" customHeight="1">
      <c r="A450" s="580"/>
      <c r="B450" s="572"/>
      <c r="C450" s="589">
        <v>3020</v>
      </c>
      <c r="D450" s="450" t="s">
        <v>269</v>
      </c>
      <c r="E450" s="502">
        <f t="shared" si="91"/>
        <v>26600</v>
      </c>
      <c r="F450" s="445">
        <f t="shared" si="92"/>
        <v>26600</v>
      </c>
      <c r="G450" s="445">
        <f t="shared" si="93"/>
        <v>0</v>
      </c>
      <c r="H450" s="451"/>
      <c r="I450" s="445">
        <f t="shared" si="94"/>
        <v>0</v>
      </c>
      <c r="J450" s="451"/>
      <c r="K450" s="451"/>
      <c r="L450" s="451"/>
      <c r="M450" s="451"/>
      <c r="N450" s="451">
        <v>26600</v>
      </c>
      <c r="O450" s="451"/>
      <c r="P450" s="451"/>
      <c r="Q450" s="451"/>
      <c r="R450" s="451"/>
      <c r="S450" s="445">
        <f t="shared" si="95"/>
        <v>0</v>
      </c>
      <c r="T450" s="451"/>
      <c r="U450" s="451"/>
      <c r="V450" s="451"/>
    </row>
    <row r="451" spans="1:22" s="441" customFormat="1" ht="42.75" customHeight="1">
      <c r="A451" s="580"/>
      <c r="B451" s="572"/>
      <c r="C451" s="589">
        <v>4010</v>
      </c>
      <c r="D451" s="450" t="s">
        <v>102</v>
      </c>
      <c r="E451" s="502">
        <f t="shared" si="91"/>
        <v>5146608</v>
      </c>
      <c r="F451" s="445">
        <f t="shared" si="92"/>
        <v>5146608</v>
      </c>
      <c r="G451" s="445">
        <f t="shared" si="93"/>
        <v>5146608</v>
      </c>
      <c r="H451" s="451"/>
      <c r="I451" s="445">
        <f t="shared" si="94"/>
        <v>5146608</v>
      </c>
      <c r="J451" s="451">
        <v>5146608</v>
      </c>
      <c r="K451" s="451"/>
      <c r="L451" s="451"/>
      <c r="M451" s="451"/>
      <c r="N451" s="451"/>
      <c r="O451" s="451"/>
      <c r="P451" s="451"/>
      <c r="Q451" s="451"/>
      <c r="R451" s="451"/>
      <c r="S451" s="445">
        <f t="shared" si="95"/>
        <v>0</v>
      </c>
      <c r="T451" s="451"/>
      <c r="U451" s="451"/>
      <c r="V451" s="451"/>
    </row>
    <row r="452" spans="1:22" s="441" customFormat="1" ht="30">
      <c r="A452" s="580"/>
      <c r="B452" s="572"/>
      <c r="C452" s="589">
        <v>4040</v>
      </c>
      <c r="D452" s="450" t="s">
        <v>103</v>
      </c>
      <c r="E452" s="502">
        <f t="shared" si="91"/>
        <v>412049</v>
      </c>
      <c r="F452" s="445">
        <f t="shared" si="92"/>
        <v>412049</v>
      </c>
      <c r="G452" s="445">
        <f t="shared" si="93"/>
        <v>412049</v>
      </c>
      <c r="H452" s="451"/>
      <c r="I452" s="445">
        <f t="shared" si="94"/>
        <v>412049</v>
      </c>
      <c r="J452" s="451"/>
      <c r="K452" s="451">
        <v>412049</v>
      </c>
      <c r="L452" s="451"/>
      <c r="M452" s="451"/>
      <c r="N452" s="451"/>
      <c r="O452" s="451"/>
      <c r="P452" s="451"/>
      <c r="Q452" s="451"/>
      <c r="R452" s="451"/>
      <c r="S452" s="445">
        <f t="shared" si="95"/>
        <v>0</v>
      </c>
      <c r="T452" s="451"/>
      <c r="U452" s="451"/>
      <c r="V452" s="451"/>
    </row>
    <row r="453" spans="1:22" s="441" customFormat="1" ht="45">
      <c r="A453" s="580"/>
      <c r="B453" s="572"/>
      <c r="C453" s="589">
        <v>4110</v>
      </c>
      <c r="D453" s="450" t="s">
        <v>104</v>
      </c>
      <c r="E453" s="502">
        <f t="shared" si="91"/>
        <v>871665</v>
      </c>
      <c r="F453" s="445">
        <f t="shared" si="92"/>
        <v>871665</v>
      </c>
      <c r="G453" s="445">
        <f t="shared" si="93"/>
        <v>871665</v>
      </c>
      <c r="H453" s="451"/>
      <c r="I453" s="445">
        <f t="shared" si="94"/>
        <v>871665</v>
      </c>
      <c r="J453" s="451"/>
      <c r="K453" s="451"/>
      <c r="L453" s="451">
        <v>871665</v>
      </c>
      <c r="M453" s="451"/>
      <c r="N453" s="451"/>
      <c r="O453" s="451"/>
      <c r="P453" s="451"/>
      <c r="Q453" s="451"/>
      <c r="R453" s="451"/>
      <c r="S453" s="445">
        <f t="shared" si="95"/>
        <v>0</v>
      </c>
      <c r="T453" s="451"/>
      <c r="U453" s="451"/>
      <c r="V453" s="451"/>
    </row>
    <row r="454" spans="1:22" s="441" customFormat="1" ht="30">
      <c r="A454" s="580"/>
      <c r="B454" s="572"/>
      <c r="C454" s="589">
        <v>4120</v>
      </c>
      <c r="D454" s="450" t="s">
        <v>105</v>
      </c>
      <c r="E454" s="502">
        <f t="shared" si="91"/>
        <v>136807</v>
      </c>
      <c r="F454" s="445">
        <f t="shared" si="92"/>
        <v>136807</v>
      </c>
      <c r="G454" s="445">
        <f t="shared" si="93"/>
        <v>136807</v>
      </c>
      <c r="H454" s="451"/>
      <c r="I454" s="445">
        <f t="shared" si="94"/>
        <v>136807</v>
      </c>
      <c r="J454" s="451"/>
      <c r="K454" s="451"/>
      <c r="L454" s="451">
        <v>136807</v>
      </c>
      <c r="M454" s="451"/>
      <c r="N454" s="451"/>
      <c r="O454" s="451"/>
      <c r="P454" s="451"/>
      <c r="Q454" s="451"/>
      <c r="R454" s="451"/>
      <c r="S454" s="445">
        <f t="shared" si="95"/>
        <v>0</v>
      </c>
      <c r="T454" s="451"/>
      <c r="U454" s="451"/>
      <c r="V454" s="451"/>
    </row>
    <row r="455" spans="1:22" s="441" customFormat="1" ht="15.75" customHeight="1" hidden="1">
      <c r="A455" s="580"/>
      <c r="B455" s="572"/>
      <c r="C455" s="589">
        <v>4140</v>
      </c>
      <c r="D455" s="450" t="s">
        <v>589</v>
      </c>
      <c r="E455" s="502">
        <f t="shared" si="91"/>
        <v>0</v>
      </c>
      <c r="F455" s="445">
        <f t="shared" si="92"/>
        <v>0</v>
      </c>
      <c r="G455" s="445">
        <f t="shared" si="93"/>
        <v>0</v>
      </c>
      <c r="H455" s="451"/>
      <c r="I455" s="445">
        <f t="shared" si="94"/>
        <v>0</v>
      </c>
      <c r="J455" s="451"/>
      <c r="K455" s="451"/>
      <c r="L455" s="451"/>
      <c r="M455" s="451"/>
      <c r="N455" s="451"/>
      <c r="O455" s="451"/>
      <c r="P455" s="451"/>
      <c r="Q455" s="451"/>
      <c r="R455" s="451"/>
      <c r="S455" s="445">
        <f t="shared" si="95"/>
        <v>0</v>
      </c>
      <c r="T455" s="451"/>
      <c r="U455" s="451"/>
      <c r="V455" s="451"/>
    </row>
    <row r="456" spans="1:22" s="441" customFormat="1" ht="30">
      <c r="A456" s="580"/>
      <c r="B456" s="572"/>
      <c r="C456" s="589">
        <v>4170</v>
      </c>
      <c r="D456" s="450" t="s">
        <v>270</v>
      </c>
      <c r="E456" s="502">
        <f t="shared" si="91"/>
        <v>121000</v>
      </c>
      <c r="F456" s="445">
        <f t="shared" si="92"/>
        <v>121000</v>
      </c>
      <c r="G456" s="445">
        <f t="shared" si="93"/>
        <v>121000</v>
      </c>
      <c r="H456" s="451"/>
      <c r="I456" s="445">
        <f t="shared" si="94"/>
        <v>121000</v>
      </c>
      <c r="J456" s="451"/>
      <c r="K456" s="451"/>
      <c r="L456" s="451"/>
      <c r="M456" s="451">
        <v>121000</v>
      </c>
      <c r="N456" s="451"/>
      <c r="O456" s="451"/>
      <c r="P456" s="451"/>
      <c r="Q456" s="451"/>
      <c r="R456" s="451"/>
      <c r="S456" s="445">
        <f t="shared" si="95"/>
        <v>0</v>
      </c>
      <c r="T456" s="451"/>
      <c r="U456" s="451"/>
      <c r="V456" s="451"/>
    </row>
    <row r="457" spans="1:22" s="441" customFormat="1" ht="50.25" customHeight="1">
      <c r="A457" s="580"/>
      <c r="B457" s="572"/>
      <c r="C457" s="589">
        <v>4210</v>
      </c>
      <c r="D457" s="450" t="s">
        <v>107</v>
      </c>
      <c r="E457" s="502">
        <f t="shared" si="91"/>
        <v>1159962</v>
      </c>
      <c r="F457" s="445">
        <f t="shared" si="92"/>
        <v>1159962</v>
      </c>
      <c r="G457" s="445">
        <f t="shared" si="93"/>
        <v>1159962</v>
      </c>
      <c r="H457" s="451">
        <v>1159962</v>
      </c>
      <c r="I457" s="445">
        <f t="shared" si="94"/>
        <v>0</v>
      </c>
      <c r="J457" s="451"/>
      <c r="K457" s="451"/>
      <c r="L457" s="451"/>
      <c r="M457" s="451"/>
      <c r="N457" s="451"/>
      <c r="O457" s="451"/>
      <c r="P457" s="451"/>
      <c r="Q457" s="451"/>
      <c r="R457" s="451"/>
      <c r="S457" s="445">
        <f t="shared" si="95"/>
        <v>0</v>
      </c>
      <c r="T457" s="451"/>
      <c r="U457" s="451"/>
      <c r="V457" s="451"/>
    </row>
    <row r="458" spans="1:22" s="441" customFormat="1" ht="30.75" customHeight="1">
      <c r="A458" s="580"/>
      <c r="B458" s="572"/>
      <c r="C458" s="589">
        <v>4220</v>
      </c>
      <c r="D458" s="450" t="s">
        <v>266</v>
      </c>
      <c r="E458" s="502">
        <f t="shared" si="91"/>
        <v>714350</v>
      </c>
      <c r="F458" s="445">
        <f t="shared" si="92"/>
        <v>714350</v>
      </c>
      <c r="G458" s="445">
        <f t="shared" si="93"/>
        <v>714350</v>
      </c>
      <c r="H458" s="451">
        <v>714350</v>
      </c>
      <c r="I458" s="445">
        <f t="shared" si="94"/>
        <v>0</v>
      </c>
      <c r="J458" s="451"/>
      <c r="K458" s="451"/>
      <c r="L458" s="451"/>
      <c r="M458" s="451"/>
      <c r="N458" s="451"/>
      <c r="O458" s="451"/>
      <c r="P458" s="451"/>
      <c r="Q458" s="451"/>
      <c r="R458" s="451"/>
      <c r="S458" s="445">
        <f t="shared" si="95"/>
        <v>0</v>
      </c>
      <c r="T458" s="451"/>
      <c r="U458" s="451"/>
      <c r="V458" s="451"/>
    </row>
    <row r="459" spans="1:22" s="441" customFormat="1" ht="45">
      <c r="A459" s="580"/>
      <c r="B459" s="572"/>
      <c r="C459" s="589">
        <v>4230</v>
      </c>
      <c r="D459" s="450" t="s">
        <v>590</v>
      </c>
      <c r="E459" s="502">
        <f t="shared" si="91"/>
        <v>204280</v>
      </c>
      <c r="F459" s="445">
        <f t="shared" si="92"/>
        <v>204280</v>
      </c>
      <c r="G459" s="445">
        <f t="shared" si="93"/>
        <v>204280</v>
      </c>
      <c r="H459" s="451">
        <v>204280</v>
      </c>
      <c r="I459" s="445">
        <f t="shared" si="94"/>
        <v>0</v>
      </c>
      <c r="J459" s="451"/>
      <c r="K459" s="451"/>
      <c r="L459" s="451"/>
      <c r="M459" s="451"/>
      <c r="N459" s="451"/>
      <c r="O459" s="451"/>
      <c r="P459" s="451"/>
      <c r="Q459" s="451"/>
      <c r="R459" s="451"/>
      <c r="S459" s="445">
        <f t="shared" si="95"/>
        <v>0</v>
      </c>
      <c r="T459" s="451"/>
      <c r="U459" s="451"/>
      <c r="V459" s="451"/>
    </row>
    <row r="460" spans="1:22" s="441" customFormat="1" ht="15.75">
      <c r="A460" s="580"/>
      <c r="B460" s="572"/>
      <c r="C460" s="589">
        <v>4260</v>
      </c>
      <c r="D460" s="450" t="s">
        <v>108</v>
      </c>
      <c r="E460" s="502">
        <f t="shared" si="91"/>
        <v>293030</v>
      </c>
      <c r="F460" s="445">
        <f t="shared" si="92"/>
        <v>293030</v>
      </c>
      <c r="G460" s="445">
        <f t="shared" si="93"/>
        <v>293030</v>
      </c>
      <c r="H460" s="451">
        <v>293030</v>
      </c>
      <c r="I460" s="445">
        <f t="shared" si="94"/>
        <v>0</v>
      </c>
      <c r="J460" s="451"/>
      <c r="K460" s="451"/>
      <c r="L460" s="451"/>
      <c r="M460" s="451"/>
      <c r="N460" s="451"/>
      <c r="O460" s="451"/>
      <c r="P460" s="451"/>
      <c r="Q460" s="451"/>
      <c r="R460" s="451"/>
      <c r="S460" s="445">
        <f t="shared" si="95"/>
        <v>0</v>
      </c>
      <c r="T460" s="451"/>
      <c r="U460" s="451"/>
      <c r="V460" s="451"/>
    </row>
    <row r="461" spans="1:22" s="441" customFormat="1" ht="30">
      <c r="A461" s="580"/>
      <c r="B461" s="572"/>
      <c r="C461" s="589">
        <v>4270</v>
      </c>
      <c r="D461" s="450" t="s">
        <v>109</v>
      </c>
      <c r="E461" s="502">
        <f t="shared" si="91"/>
        <v>129534</v>
      </c>
      <c r="F461" s="445">
        <f t="shared" si="92"/>
        <v>129534</v>
      </c>
      <c r="G461" s="445">
        <f t="shared" si="93"/>
        <v>129534</v>
      </c>
      <c r="H461" s="451">
        <v>129534</v>
      </c>
      <c r="I461" s="445">
        <f t="shared" si="94"/>
        <v>0</v>
      </c>
      <c r="J461" s="451"/>
      <c r="K461" s="451"/>
      <c r="L461" s="451"/>
      <c r="M461" s="451"/>
      <c r="N461" s="451"/>
      <c r="O461" s="451"/>
      <c r="P461" s="451"/>
      <c r="Q461" s="451"/>
      <c r="R461" s="451"/>
      <c r="S461" s="445">
        <f t="shared" si="95"/>
        <v>0</v>
      </c>
      <c r="T461" s="451"/>
      <c r="U461" s="451"/>
      <c r="V461" s="451"/>
    </row>
    <row r="462" spans="1:22" s="441" customFormat="1" ht="53.25" customHeight="1">
      <c r="A462" s="580"/>
      <c r="B462" s="572"/>
      <c r="C462" s="589">
        <v>4280</v>
      </c>
      <c r="D462" s="450" t="s">
        <v>110</v>
      </c>
      <c r="E462" s="502">
        <f t="shared" si="91"/>
        <v>32700</v>
      </c>
      <c r="F462" s="445">
        <f t="shared" si="92"/>
        <v>32700</v>
      </c>
      <c r="G462" s="445">
        <f t="shared" si="93"/>
        <v>32700</v>
      </c>
      <c r="H462" s="451">
        <v>32700</v>
      </c>
      <c r="I462" s="445">
        <f t="shared" si="94"/>
        <v>0</v>
      </c>
      <c r="J462" s="451"/>
      <c r="K462" s="451"/>
      <c r="L462" s="451"/>
      <c r="M462" s="451"/>
      <c r="N462" s="451"/>
      <c r="O462" s="451"/>
      <c r="P462" s="451"/>
      <c r="Q462" s="451"/>
      <c r="R462" s="451"/>
      <c r="S462" s="445">
        <f t="shared" si="95"/>
        <v>0</v>
      </c>
      <c r="T462" s="451"/>
      <c r="U462" s="451"/>
      <c r="V462" s="451"/>
    </row>
    <row r="463" spans="1:22" s="441" customFormat="1" ht="30">
      <c r="A463" s="580"/>
      <c r="B463" s="572"/>
      <c r="C463" s="589">
        <v>4300</v>
      </c>
      <c r="D463" s="450" t="s">
        <v>90</v>
      </c>
      <c r="E463" s="502">
        <f t="shared" si="91"/>
        <v>552597</v>
      </c>
      <c r="F463" s="445">
        <f t="shared" si="92"/>
        <v>552597</v>
      </c>
      <c r="G463" s="445">
        <f t="shared" si="93"/>
        <v>552597</v>
      </c>
      <c r="H463" s="451">
        <v>552597</v>
      </c>
      <c r="I463" s="445">
        <f t="shared" si="94"/>
        <v>0</v>
      </c>
      <c r="J463" s="451"/>
      <c r="K463" s="451"/>
      <c r="L463" s="451"/>
      <c r="M463" s="451"/>
      <c r="N463" s="451"/>
      <c r="O463" s="451"/>
      <c r="P463" s="451"/>
      <c r="Q463" s="451"/>
      <c r="R463" s="451"/>
      <c r="S463" s="445">
        <f t="shared" si="95"/>
        <v>0</v>
      </c>
      <c r="T463" s="451"/>
      <c r="U463" s="451"/>
      <c r="V463" s="451"/>
    </row>
    <row r="464" spans="1:22" s="441" customFormat="1" ht="30">
      <c r="A464" s="580"/>
      <c r="B464" s="572"/>
      <c r="C464" s="589">
        <v>4350</v>
      </c>
      <c r="D464" s="450" t="s">
        <v>111</v>
      </c>
      <c r="E464" s="502">
        <f t="shared" si="91"/>
        <v>6550</v>
      </c>
      <c r="F464" s="445">
        <f t="shared" si="92"/>
        <v>6550</v>
      </c>
      <c r="G464" s="445">
        <f t="shared" si="93"/>
        <v>6550</v>
      </c>
      <c r="H464" s="451">
        <v>6550</v>
      </c>
      <c r="I464" s="445">
        <f t="shared" si="94"/>
        <v>0</v>
      </c>
      <c r="J464" s="451"/>
      <c r="K464" s="451"/>
      <c r="L464" s="451"/>
      <c r="M464" s="451"/>
      <c r="N464" s="451"/>
      <c r="O464" s="451"/>
      <c r="P464" s="451"/>
      <c r="Q464" s="451"/>
      <c r="R464" s="451"/>
      <c r="S464" s="445">
        <f t="shared" si="95"/>
        <v>0</v>
      </c>
      <c r="T464" s="451"/>
      <c r="U464" s="451"/>
      <c r="V464" s="451"/>
    </row>
    <row r="465" spans="1:22" s="441" customFormat="1" ht="60">
      <c r="A465" s="580"/>
      <c r="B465" s="572"/>
      <c r="C465" s="589">
        <v>4360</v>
      </c>
      <c r="D465" s="450" t="s">
        <v>245</v>
      </c>
      <c r="E465" s="502">
        <f t="shared" si="91"/>
        <v>14500</v>
      </c>
      <c r="F465" s="445">
        <f t="shared" si="92"/>
        <v>14500</v>
      </c>
      <c r="G465" s="445">
        <f t="shared" si="93"/>
        <v>14500</v>
      </c>
      <c r="H465" s="451">
        <v>14500</v>
      </c>
      <c r="I465" s="445">
        <f t="shared" si="94"/>
        <v>0</v>
      </c>
      <c r="J465" s="451"/>
      <c r="K465" s="451"/>
      <c r="L465" s="451"/>
      <c r="M465" s="451"/>
      <c r="N465" s="451"/>
      <c r="O465" s="451"/>
      <c r="P465" s="451"/>
      <c r="Q465" s="451"/>
      <c r="R465" s="451"/>
      <c r="S465" s="445">
        <f t="shared" si="95"/>
        <v>0</v>
      </c>
      <c r="T465" s="451"/>
      <c r="U465" s="451"/>
      <c r="V465" s="451"/>
    </row>
    <row r="466" spans="1:22" s="441" customFormat="1" ht="60">
      <c r="A466" s="580"/>
      <c r="B466" s="572"/>
      <c r="C466" s="589">
        <v>4370</v>
      </c>
      <c r="D466" s="450" t="s">
        <v>238</v>
      </c>
      <c r="E466" s="502">
        <f t="shared" si="91"/>
        <v>25500</v>
      </c>
      <c r="F466" s="445">
        <f t="shared" si="92"/>
        <v>25500</v>
      </c>
      <c r="G466" s="445">
        <f t="shared" si="93"/>
        <v>25500</v>
      </c>
      <c r="H466" s="451">
        <v>25500</v>
      </c>
      <c r="I466" s="445">
        <f t="shared" si="94"/>
        <v>0</v>
      </c>
      <c r="J466" s="451"/>
      <c r="K466" s="451"/>
      <c r="L466" s="451"/>
      <c r="M466" s="451"/>
      <c r="N466" s="451"/>
      <c r="O466" s="451"/>
      <c r="P466" s="451"/>
      <c r="Q466" s="451"/>
      <c r="R466" s="451"/>
      <c r="S466" s="445">
        <f t="shared" si="95"/>
        <v>0</v>
      </c>
      <c r="T466" s="451"/>
      <c r="U466" s="451"/>
      <c r="V466" s="451"/>
    </row>
    <row r="467" spans="1:22" s="441" customFormat="1" ht="30">
      <c r="A467" s="580"/>
      <c r="B467" s="572"/>
      <c r="C467" s="589">
        <v>4410</v>
      </c>
      <c r="D467" s="450" t="s">
        <v>115</v>
      </c>
      <c r="E467" s="502">
        <f t="shared" si="91"/>
        <v>10560</v>
      </c>
      <c r="F467" s="445">
        <f t="shared" si="92"/>
        <v>10560</v>
      </c>
      <c r="G467" s="445">
        <f t="shared" si="93"/>
        <v>10560</v>
      </c>
      <c r="H467" s="451">
        <v>10560</v>
      </c>
      <c r="I467" s="445">
        <f t="shared" si="94"/>
        <v>0</v>
      </c>
      <c r="J467" s="451"/>
      <c r="K467" s="451"/>
      <c r="L467" s="451"/>
      <c r="M467" s="451"/>
      <c r="N467" s="451"/>
      <c r="O467" s="451"/>
      <c r="P467" s="451"/>
      <c r="Q467" s="451"/>
      <c r="R467" s="451"/>
      <c r="S467" s="445">
        <f t="shared" si="95"/>
        <v>0</v>
      </c>
      <c r="T467" s="451"/>
      <c r="U467" s="451"/>
      <c r="V467" s="451"/>
    </row>
    <row r="468" spans="1:22" s="441" customFormat="1" ht="15.75">
      <c r="A468" s="580"/>
      <c r="B468" s="572"/>
      <c r="C468" s="589">
        <v>4430</v>
      </c>
      <c r="D468" s="450" t="s">
        <v>116</v>
      </c>
      <c r="E468" s="502">
        <f t="shared" si="91"/>
        <v>31100</v>
      </c>
      <c r="F468" s="445">
        <f t="shared" si="92"/>
        <v>31100</v>
      </c>
      <c r="G468" s="445">
        <f t="shared" si="93"/>
        <v>31100</v>
      </c>
      <c r="H468" s="451">
        <v>31100</v>
      </c>
      <c r="I468" s="445">
        <f t="shared" si="94"/>
        <v>0</v>
      </c>
      <c r="J468" s="451"/>
      <c r="K468" s="451"/>
      <c r="L468" s="451"/>
      <c r="M468" s="451"/>
      <c r="N468" s="451"/>
      <c r="O468" s="451"/>
      <c r="P468" s="451"/>
      <c r="Q468" s="451"/>
      <c r="R468" s="451"/>
      <c r="S468" s="445">
        <f t="shared" si="95"/>
        <v>0</v>
      </c>
      <c r="T468" s="451"/>
      <c r="U468" s="451"/>
      <c r="V468" s="451"/>
    </row>
    <row r="469" spans="1:22" s="441" customFormat="1" ht="45">
      <c r="A469" s="580"/>
      <c r="B469" s="572"/>
      <c r="C469" s="589">
        <v>4440</v>
      </c>
      <c r="D469" s="450" t="s">
        <v>117</v>
      </c>
      <c r="E469" s="502">
        <f t="shared" si="91"/>
        <v>227674</v>
      </c>
      <c r="F469" s="445">
        <f t="shared" si="92"/>
        <v>227674</v>
      </c>
      <c r="G469" s="445">
        <f t="shared" si="93"/>
        <v>227674</v>
      </c>
      <c r="H469" s="451">
        <v>227674</v>
      </c>
      <c r="I469" s="445">
        <f t="shared" si="94"/>
        <v>0</v>
      </c>
      <c r="J469" s="451"/>
      <c r="K469" s="451"/>
      <c r="L469" s="451"/>
      <c r="M469" s="451"/>
      <c r="N469" s="451"/>
      <c r="O469" s="451"/>
      <c r="P469" s="451"/>
      <c r="Q469" s="451"/>
      <c r="R469" s="451"/>
      <c r="S469" s="445">
        <f t="shared" si="95"/>
        <v>0</v>
      </c>
      <c r="T469" s="451"/>
      <c r="U469" s="451"/>
      <c r="V469" s="451"/>
    </row>
    <row r="470" spans="1:22" s="441" customFormat="1" ht="36" customHeight="1">
      <c r="A470" s="580"/>
      <c r="B470" s="572"/>
      <c r="C470" s="589">
        <v>4480</v>
      </c>
      <c r="D470" s="450" t="s">
        <v>118</v>
      </c>
      <c r="E470" s="502">
        <f t="shared" si="91"/>
        <v>46400</v>
      </c>
      <c r="F470" s="445">
        <f t="shared" si="92"/>
        <v>46400</v>
      </c>
      <c r="G470" s="445">
        <f t="shared" si="93"/>
        <v>46400</v>
      </c>
      <c r="H470" s="451">
        <v>46400</v>
      </c>
      <c r="I470" s="445">
        <f t="shared" si="94"/>
        <v>0</v>
      </c>
      <c r="J470" s="451"/>
      <c r="K470" s="451"/>
      <c r="L470" s="451"/>
      <c r="M470" s="451"/>
      <c r="N470" s="451"/>
      <c r="O470" s="451"/>
      <c r="P470" s="451"/>
      <c r="Q470" s="451"/>
      <c r="R470" s="451"/>
      <c r="S470" s="445">
        <f t="shared" si="95"/>
        <v>0</v>
      </c>
      <c r="T470" s="451"/>
      <c r="U470" s="451"/>
      <c r="V470" s="451"/>
    </row>
    <row r="471" spans="1:22" s="441" customFormat="1" ht="47.25" customHeight="1">
      <c r="A471" s="580"/>
      <c r="B471" s="572"/>
      <c r="C471" s="589">
        <v>4520</v>
      </c>
      <c r="D471" s="450" t="s">
        <v>271</v>
      </c>
      <c r="E471" s="502">
        <f t="shared" si="91"/>
        <v>48018</v>
      </c>
      <c r="F471" s="445">
        <f t="shared" si="92"/>
        <v>48018</v>
      </c>
      <c r="G471" s="445">
        <f t="shared" si="93"/>
        <v>48018</v>
      </c>
      <c r="H471" s="451">
        <v>48018</v>
      </c>
      <c r="I471" s="445">
        <f t="shared" si="94"/>
        <v>0</v>
      </c>
      <c r="J471" s="451"/>
      <c r="K471" s="451"/>
      <c r="L471" s="451"/>
      <c r="M471" s="451"/>
      <c r="N471" s="451"/>
      <c r="O471" s="451"/>
      <c r="P471" s="451"/>
      <c r="Q471" s="451"/>
      <c r="R471" s="451"/>
      <c r="S471" s="445">
        <f t="shared" si="95"/>
        <v>0</v>
      </c>
      <c r="T471" s="451"/>
      <c r="U471" s="451"/>
      <c r="V471" s="451"/>
    </row>
    <row r="472" spans="1:22" s="441" customFormat="1" ht="48" customHeight="1">
      <c r="A472" s="580"/>
      <c r="B472" s="572"/>
      <c r="C472" s="589">
        <v>4700</v>
      </c>
      <c r="D472" s="450" t="s">
        <v>385</v>
      </c>
      <c r="E472" s="502">
        <f t="shared" si="91"/>
        <v>14090</v>
      </c>
      <c r="F472" s="445">
        <f t="shared" si="92"/>
        <v>14090</v>
      </c>
      <c r="G472" s="445">
        <f t="shared" si="93"/>
        <v>14090</v>
      </c>
      <c r="H472" s="451">
        <v>14090</v>
      </c>
      <c r="I472" s="445">
        <f t="shared" si="94"/>
        <v>0</v>
      </c>
      <c r="J472" s="451"/>
      <c r="K472" s="451"/>
      <c r="L472" s="451"/>
      <c r="M472" s="451"/>
      <c r="N472" s="451"/>
      <c r="O472" s="451"/>
      <c r="P472" s="451"/>
      <c r="Q472" s="451"/>
      <c r="R472" s="451"/>
      <c r="S472" s="445">
        <f t="shared" si="95"/>
        <v>0</v>
      </c>
      <c r="T472" s="451"/>
      <c r="U472" s="451"/>
      <c r="V472" s="451"/>
    </row>
    <row r="473" spans="1:22" s="441" customFormat="1" ht="60">
      <c r="A473" s="580"/>
      <c r="B473" s="572"/>
      <c r="C473" s="589">
        <v>4740</v>
      </c>
      <c r="D473" s="450" t="s">
        <v>199</v>
      </c>
      <c r="E473" s="502">
        <f t="shared" si="91"/>
        <v>7170</v>
      </c>
      <c r="F473" s="445">
        <f t="shared" si="92"/>
        <v>7170</v>
      </c>
      <c r="G473" s="445">
        <f t="shared" si="93"/>
        <v>7170</v>
      </c>
      <c r="H473" s="451">
        <v>7170</v>
      </c>
      <c r="I473" s="445">
        <f t="shared" si="94"/>
        <v>0</v>
      </c>
      <c r="J473" s="451"/>
      <c r="K473" s="451"/>
      <c r="L473" s="451"/>
      <c r="M473" s="451"/>
      <c r="N473" s="451"/>
      <c r="O473" s="451"/>
      <c r="P473" s="451"/>
      <c r="Q473" s="451"/>
      <c r="R473" s="451"/>
      <c r="S473" s="445">
        <f t="shared" si="95"/>
        <v>0</v>
      </c>
      <c r="T473" s="451"/>
      <c r="U473" s="451"/>
      <c r="V473" s="451"/>
    </row>
    <row r="474" spans="1:22" s="441" customFormat="1" ht="45">
      <c r="A474" s="580"/>
      <c r="B474" s="572"/>
      <c r="C474" s="589">
        <v>4750</v>
      </c>
      <c r="D474" s="450" t="s">
        <v>239</v>
      </c>
      <c r="E474" s="502">
        <f t="shared" si="91"/>
        <v>11570</v>
      </c>
      <c r="F474" s="445">
        <f t="shared" si="92"/>
        <v>11570</v>
      </c>
      <c r="G474" s="445">
        <f t="shared" si="93"/>
        <v>11570</v>
      </c>
      <c r="H474" s="451">
        <v>11570</v>
      </c>
      <c r="I474" s="445">
        <f t="shared" si="94"/>
        <v>0</v>
      </c>
      <c r="J474" s="451"/>
      <c r="K474" s="451"/>
      <c r="L474" s="451"/>
      <c r="M474" s="451"/>
      <c r="N474" s="451"/>
      <c r="O474" s="451"/>
      <c r="P474" s="451"/>
      <c r="Q474" s="451"/>
      <c r="R474" s="451"/>
      <c r="S474" s="445">
        <f t="shared" si="95"/>
        <v>0</v>
      </c>
      <c r="T474" s="451"/>
      <c r="U474" s="451"/>
      <c r="V474" s="451"/>
    </row>
    <row r="475" spans="1:22" s="441" customFormat="1" ht="45">
      <c r="A475" s="580"/>
      <c r="B475" s="572"/>
      <c r="C475" s="589">
        <v>4780</v>
      </c>
      <c r="D475" s="450" t="s">
        <v>502</v>
      </c>
      <c r="E475" s="502">
        <f>F475+S475</f>
        <v>10800</v>
      </c>
      <c r="F475" s="445">
        <f>G475+N475+O475+P475+Q475+R475</f>
        <v>10800</v>
      </c>
      <c r="G475" s="445">
        <f>H475+I475</f>
        <v>10800</v>
      </c>
      <c r="H475" s="451">
        <v>10800</v>
      </c>
      <c r="I475" s="445">
        <f>SUM(J475:M475)</f>
        <v>0</v>
      </c>
      <c r="J475" s="451"/>
      <c r="K475" s="451"/>
      <c r="L475" s="451"/>
      <c r="M475" s="451"/>
      <c r="N475" s="451"/>
      <c r="O475" s="451"/>
      <c r="P475" s="451"/>
      <c r="Q475" s="451"/>
      <c r="R475" s="451"/>
      <c r="S475" s="445">
        <f>T475+V475</f>
        <v>0</v>
      </c>
      <c r="T475" s="451"/>
      <c r="U475" s="451"/>
      <c r="V475" s="451"/>
    </row>
    <row r="476" spans="1:22" s="441" customFormat="1" ht="41.25" customHeight="1">
      <c r="A476" s="570"/>
      <c r="B476" s="570"/>
      <c r="C476" s="589">
        <v>6050</v>
      </c>
      <c r="D476" s="453" t="s">
        <v>605</v>
      </c>
      <c r="E476" s="502">
        <f t="shared" si="91"/>
        <v>50000</v>
      </c>
      <c r="F476" s="445">
        <f t="shared" si="92"/>
        <v>0</v>
      </c>
      <c r="G476" s="445">
        <f t="shared" si="93"/>
        <v>0</v>
      </c>
      <c r="H476" s="451"/>
      <c r="I476" s="445">
        <f t="shared" si="94"/>
        <v>0</v>
      </c>
      <c r="J476" s="451"/>
      <c r="K476" s="451"/>
      <c r="L476" s="451"/>
      <c r="M476" s="451"/>
      <c r="N476" s="451"/>
      <c r="O476" s="451"/>
      <c r="P476" s="451"/>
      <c r="Q476" s="451"/>
      <c r="R476" s="451"/>
      <c r="S476" s="445">
        <f t="shared" si="95"/>
        <v>50000</v>
      </c>
      <c r="T476" s="451">
        <v>50000</v>
      </c>
      <c r="U476" s="451"/>
      <c r="V476" s="451"/>
    </row>
    <row r="477" spans="1:22" s="441" customFormat="1" ht="33" customHeight="1">
      <c r="A477" s="570"/>
      <c r="B477" s="570"/>
      <c r="C477" s="589">
        <v>6057</v>
      </c>
      <c r="D477" s="453" t="s">
        <v>605</v>
      </c>
      <c r="E477" s="502">
        <f>F477+S477</f>
        <v>1996614</v>
      </c>
      <c r="F477" s="445">
        <f>G477+N477+O477+P477+Q477+R477</f>
        <v>0</v>
      </c>
      <c r="G477" s="445">
        <f>H477+I477</f>
        <v>0</v>
      </c>
      <c r="H477" s="451"/>
      <c r="I477" s="445">
        <f>SUM(J477:M477)</f>
        <v>0</v>
      </c>
      <c r="J477" s="451"/>
      <c r="K477" s="451"/>
      <c r="L477" s="451"/>
      <c r="M477" s="451"/>
      <c r="N477" s="451"/>
      <c r="O477" s="451"/>
      <c r="P477" s="451"/>
      <c r="Q477" s="451"/>
      <c r="R477" s="451"/>
      <c r="S477" s="445">
        <f>T477+V477</f>
        <v>1996614</v>
      </c>
      <c r="T477" s="451">
        <f>SUM(U477)</f>
        <v>1996614</v>
      </c>
      <c r="U477" s="451">
        <v>1996614</v>
      </c>
      <c r="V477" s="451"/>
    </row>
    <row r="478" spans="1:22" s="441" customFormat="1" ht="33" customHeight="1">
      <c r="A478" s="570"/>
      <c r="B478" s="570"/>
      <c r="C478" s="589">
        <v>6059</v>
      </c>
      <c r="D478" s="453" t="s">
        <v>605</v>
      </c>
      <c r="E478" s="502">
        <f t="shared" si="91"/>
        <v>586000</v>
      </c>
      <c r="F478" s="445">
        <f t="shared" si="92"/>
        <v>0</v>
      </c>
      <c r="G478" s="445">
        <f t="shared" si="93"/>
        <v>0</v>
      </c>
      <c r="H478" s="451"/>
      <c r="I478" s="445">
        <f t="shared" si="94"/>
        <v>0</v>
      </c>
      <c r="J478" s="451"/>
      <c r="K478" s="451"/>
      <c r="L478" s="451"/>
      <c r="M478" s="451"/>
      <c r="N478" s="451"/>
      <c r="O478" s="451"/>
      <c r="P478" s="451"/>
      <c r="Q478" s="451"/>
      <c r="R478" s="451"/>
      <c r="S478" s="445">
        <f t="shared" si="95"/>
        <v>586000</v>
      </c>
      <c r="T478" s="451">
        <f>SUM(U478)</f>
        <v>586000</v>
      </c>
      <c r="U478" s="451">
        <v>586000</v>
      </c>
      <c r="V478" s="451"/>
    </row>
    <row r="479" spans="1:22" s="449" customFormat="1" ht="15.75">
      <c r="A479" s="579"/>
      <c r="B479" s="571">
        <v>85203</v>
      </c>
      <c r="C479" s="588"/>
      <c r="D479" s="262" t="s">
        <v>272</v>
      </c>
      <c r="E479" s="502">
        <f t="shared" si="91"/>
        <v>775761</v>
      </c>
      <c r="F479" s="445">
        <f t="shared" si="92"/>
        <v>775761</v>
      </c>
      <c r="G479" s="445">
        <f t="shared" si="93"/>
        <v>774461</v>
      </c>
      <c r="H479" s="448">
        <f>SUM(H480:H503)</f>
        <v>227059</v>
      </c>
      <c r="I479" s="445">
        <f t="shared" si="94"/>
        <v>547402</v>
      </c>
      <c r="J479" s="448">
        <f aca="true" t="shared" si="97" ref="J479:R479">SUM(J480:J503)</f>
        <v>428576</v>
      </c>
      <c r="K479" s="448">
        <f t="shared" si="97"/>
        <v>34645</v>
      </c>
      <c r="L479" s="448">
        <f t="shared" si="97"/>
        <v>79781</v>
      </c>
      <c r="M479" s="448">
        <f t="shared" si="97"/>
        <v>4400</v>
      </c>
      <c r="N479" s="448">
        <f t="shared" si="97"/>
        <v>1300</v>
      </c>
      <c r="O479" s="448">
        <f t="shared" si="97"/>
        <v>0</v>
      </c>
      <c r="P479" s="448">
        <f>SUM(P480:P503)</f>
        <v>0</v>
      </c>
      <c r="Q479" s="448">
        <f t="shared" si="97"/>
        <v>0</v>
      </c>
      <c r="R479" s="448">
        <f t="shared" si="97"/>
        <v>0</v>
      </c>
      <c r="S479" s="445">
        <f t="shared" si="95"/>
        <v>0</v>
      </c>
      <c r="T479" s="448">
        <f>SUM(T480:T503)</f>
        <v>0</v>
      </c>
      <c r="U479" s="448">
        <f>SUM(U480:U503)</f>
        <v>0</v>
      </c>
      <c r="V479" s="448">
        <f>SUM(V480:V503)</f>
        <v>0</v>
      </c>
    </row>
    <row r="480" spans="1:22" s="441" customFormat="1" ht="45">
      <c r="A480" s="580"/>
      <c r="B480" s="572"/>
      <c r="C480" s="589">
        <v>3020</v>
      </c>
      <c r="D480" s="450" t="s">
        <v>269</v>
      </c>
      <c r="E480" s="502">
        <f t="shared" si="91"/>
        <v>1300</v>
      </c>
      <c r="F480" s="445">
        <f t="shared" si="92"/>
        <v>1300</v>
      </c>
      <c r="G480" s="445">
        <f t="shared" si="93"/>
        <v>0</v>
      </c>
      <c r="H480" s="451"/>
      <c r="I480" s="445">
        <f t="shared" si="94"/>
        <v>0</v>
      </c>
      <c r="J480" s="451"/>
      <c r="K480" s="451"/>
      <c r="L480" s="451"/>
      <c r="M480" s="451"/>
      <c r="N480" s="451">
        <v>1300</v>
      </c>
      <c r="O480" s="451"/>
      <c r="P480" s="451"/>
      <c r="Q480" s="451"/>
      <c r="R480" s="451"/>
      <c r="S480" s="445">
        <f t="shared" si="95"/>
        <v>0</v>
      </c>
      <c r="T480" s="451"/>
      <c r="U480" s="451"/>
      <c r="V480" s="451"/>
    </row>
    <row r="481" spans="1:22" s="441" customFormat="1" ht="30">
      <c r="A481" s="580"/>
      <c r="B481" s="572"/>
      <c r="C481" s="589">
        <v>4010</v>
      </c>
      <c r="D481" s="450" t="s">
        <v>102</v>
      </c>
      <c r="E481" s="502">
        <f t="shared" si="91"/>
        <v>428576</v>
      </c>
      <c r="F481" s="445">
        <f t="shared" si="92"/>
        <v>428576</v>
      </c>
      <c r="G481" s="445">
        <f t="shared" si="93"/>
        <v>428576</v>
      </c>
      <c r="H481" s="451"/>
      <c r="I481" s="445">
        <f t="shared" si="94"/>
        <v>428576</v>
      </c>
      <c r="J481" s="451">
        <v>428576</v>
      </c>
      <c r="K481" s="451"/>
      <c r="L481" s="451"/>
      <c r="M481" s="451"/>
      <c r="N481" s="451"/>
      <c r="O481" s="451"/>
      <c r="P481" s="451"/>
      <c r="Q481" s="451"/>
      <c r="R481" s="451"/>
      <c r="S481" s="445">
        <f t="shared" si="95"/>
        <v>0</v>
      </c>
      <c r="T481" s="451"/>
      <c r="U481" s="451"/>
      <c r="V481" s="451"/>
    </row>
    <row r="482" spans="1:22" s="441" customFormat="1" ht="30">
      <c r="A482" s="580"/>
      <c r="B482" s="572"/>
      <c r="C482" s="589">
        <v>4040</v>
      </c>
      <c r="D482" s="450" t="s">
        <v>103</v>
      </c>
      <c r="E482" s="502">
        <f t="shared" si="91"/>
        <v>34645</v>
      </c>
      <c r="F482" s="445">
        <f t="shared" si="92"/>
        <v>34645</v>
      </c>
      <c r="G482" s="445">
        <f t="shared" si="93"/>
        <v>34645</v>
      </c>
      <c r="H482" s="451"/>
      <c r="I482" s="445">
        <f t="shared" si="94"/>
        <v>34645</v>
      </c>
      <c r="J482" s="451"/>
      <c r="K482" s="451">
        <v>34645</v>
      </c>
      <c r="L482" s="451"/>
      <c r="M482" s="451"/>
      <c r="N482" s="451"/>
      <c r="O482" s="451"/>
      <c r="P482" s="451"/>
      <c r="Q482" s="451"/>
      <c r="R482" s="451"/>
      <c r="S482" s="445">
        <f t="shared" si="95"/>
        <v>0</v>
      </c>
      <c r="T482" s="451"/>
      <c r="U482" s="451"/>
      <c r="V482" s="451"/>
    </row>
    <row r="483" spans="1:22" s="441" customFormat="1" ht="45">
      <c r="A483" s="580"/>
      <c r="B483" s="572"/>
      <c r="C483" s="589">
        <v>4110</v>
      </c>
      <c r="D483" s="450" t="s">
        <v>104</v>
      </c>
      <c r="E483" s="502">
        <f t="shared" si="91"/>
        <v>68973</v>
      </c>
      <c r="F483" s="445">
        <f t="shared" si="92"/>
        <v>68973</v>
      </c>
      <c r="G483" s="445">
        <f t="shared" si="93"/>
        <v>68973</v>
      </c>
      <c r="H483" s="451"/>
      <c r="I483" s="445">
        <f t="shared" si="94"/>
        <v>68973</v>
      </c>
      <c r="J483" s="451"/>
      <c r="K483" s="451"/>
      <c r="L483" s="451">
        <v>68973</v>
      </c>
      <c r="M483" s="451"/>
      <c r="N483" s="451"/>
      <c r="O483" s="451"/>
      <c r="P483" s="451"/>
      <c r="Q483" s="451"/>
      <c r="R483" s="451"/>
      <c r="S483" s="445">
        <f t="shared" si="95"/>
        <v>0</v>
      </c>
      <c r="T483" s="451"/>
      <c r="U483" s="451"/>
      <c r="V483" s="451"/>
    </row>
    <row r="484" spans="1:22" s="441" customFormat="1" ht="30">
      <c r="A484" s="580"/>
      <c r="B484" s="572"/>
      <c r="C484" s="589">
        <v>4120</v>
      </c>
      <c r="D484" s="450" t="s">
        <v>105</v>
      </c>
      <c r="E484" s="502">
        <f t="shared" si="91"/>
        <v>10808</v>
      </c>
      <c r="F484" s="445">
        <f t="shared" si="92"/>
        <v>10808</v>
      </c>
      <c r="G484" s="445">
        <f t="shared" si="93"/>
        <v>10808</v>
      </c>
      <c r="H484" s="451"/>
      <c r="I484" s="445">
        <f t="shared" si="94"/>
        <v>10808</v>
      </c>
      <c r="J484" s="451"/>
      <c r="K484" s="451"/>
      <c r="L484" s="451">
        <v>10808</v>
      </c>
      <c r="M484" s="451"/>
      <c r="N484" s="451"/>
      <c r="O484" s="451"/>
      <c r="P484" s="451"/>
      <c r="Q484" s="451"/>
      <c r="R484" s="451"/>
      <c r="S484" s="445">
        <f t="shared" si="95"/>
        <v>0</v>
      </c>
      <c r="T484" s="451"/>
      <c r="U484" s="451"/>
      <c r="V484" s="451"/>
    </row>
    <row r="485" spans="1:22" s="441" customFormat="1" ht="31.5" customHeight="1">
      <c r="A485" s="580"/>
      <c r="B485" s="572"/>
      <c r="C485" s="589">
        <v>4170</v>
      </c>
      <c r="D485" s="450" t="s">
        <v>270</v>
      </c>
      <c r="E485" s="502">
        <f t="shared" si="91"/>
        <v>4400</v>
      </c>
      <c r="F485" s="445">
        <f t="shared" si="92"/>
        <v>4400</v>
      </c>
      <c r="G485" s="445">
        <f t="shared" si="93"/>
        <v>4400</v>
      </c>
      <c r="H485" s="451"/>
      <c r="I485" s="445">
        <f t="shared" si="94"/>
        <v>4400</v>
      </c>
      <c r="J485" s="451"/>
      <c r="K485" s="451"/>
      <c r="L485" s="451"/>
      <c r="M485" s="451">
        <v>4400</v>
      </c>
      <c r="N485" s="451"/>
      <c r="O485" s="451"/>
      <c r="P485" s="451"/>
      <c r="Q485" s="451"/>
      <c r="R485" s="451"/>
      <c r="S485" s="445">
        <f t="shared" si="95"/>
        <v>0</v>
      </c>
      <c r="T485" s="451"/>
      <c r="U485" s="451"/>
      <c r="V485" s="451"/>
    </row>
    <row r="486" spans="1:22" s="441" customFormat="1" ht="32.25" customHeight="1">
      <c r="A486" s="580"/>
      <c r="B486" s="572"/>
      <c r="C486" s="589">
        <v>4210</v>
      </c>
      <c r="D486" s="450" t="s">
        <v>107</v>
      </c>
      <c r="E486" s="502">
        <f t="shared" si="91"/>
        <v>89795</v>
      </c>
      <c r="F486" s="445">
        <f t="shared" si="92"/>
        <v>89795</v>
      </c>
      <c r="G486" s="445">
        <f t="shared" si="93"/>
        <v>89795</v>
      </c>
      <c r="H486" s="451">
        <v>89795</v>
      </c>
      <c r="I486" s="445">
        <f t="shared" si="94"/>
        <v>0</v>
      </c>
      <c r="J486" s="451"/>
      <c r="K486" s="451"/>
      <c r="L486" s="451"/>
      <c r="M486" s="451"/>
      <c r="N486" s="451"/>
      <c r="O486" s="451"/>
      <c r="P486" s="451"/>
      <c r="Q486" s="451"/>
      <c r="R486" s="451"/>
      <c r="S486" s="445">
        <f t="shared" si="95"/>
        <v>0</v>
      </c>
      <c r="T486" s="451"/>
      <c r="U486" s="451"/>
      <c r="V486" s="451"/>
    </row>
    <row r="487" spans="1:22" s="441" customFormat="1" ht="30" customHeight="1">
      <c r="A487" s="580"/>
      <c r="B487" s="572"/>
      <c r="C487" s="589">
        <v>4220</v>
      </c>
      <c r="D487" s="450" t="s">
        <v>266</v>
      </c>
      <c r="E487" s="502">
        <f t="shared" si="91"/>
        <v>30402</v>
      </c>
      <c r="F487" s="445">
        <f t="shared" si="92"/>
        <v>30402</v>
      </c>
      <c r="G487" s="445">
        <f t="shared" si="93"/>
        <v>30402</v>
      </c>
      <c r="H487" s="451">
        <v>30402</v>
      </c>
      <c r="I487" s="445">
        <f t="shared" si="94"/>
        <v>0</v>
      </c>
      <c r="J487" s="451"/>
      <c r="K487" s="451"/>
      <c r="L487" s="451"/>
      <c r="M487" s="451"/>
      <c r="N487" s="451"/>
      <c r="O487" s="451"/>
      <c r="P487" s="451"/>
      <c r="Q487" s="451"/>
      <c r="R487" s="451"/>
      <c r="S487" s="445">
        <f t="shared" si="95"/>
        <v>0</v>
      </c>
      <c r="T487" s="451"/>
      <c r="U487" s="451"/>
      <c r="V487" s="451"/>
    </row>
    <row r="488" spans="1:22" s="441" customFormat="1" ht="51.75" customHeight="1">
      <c r="A488" s="580"/>
      <c r="B488" s="572"/>
      <c r="C488" s="589">
        <v>4230</v>
      </c>
      <c r="D488" s="450" t="s">
        <v>590</v>
      </c>
      <c r="E488" s="502">
        <f t="shared" si="91"/>
        <v>200</v>
      </c>
      <c r="F488" s="445">
        <f t="shared" si="92"/>
        <v>200</v>
      </c>
      <c r="G488" s="445">
        <f t="shared" si="93"/>
        <v>200</v>
      </c>
      <c r="H488" s="451">
        <v>200</v>
      </c>
      <c r="I488" s="445">
        <f t="shared" si="94"/>
        <v>0</v>
      </c>
      <c r="J488" s="451"/>
      <c r="K488" s="451"/>
      <c r="L488" s="451"/>
      <c r="M488" s="451"/>
      <c r="N488" s="451"/>
      <c r="O488" s="451"/>
      <c r="P488" s="451"/>
      <c r="Q488" s="451"/>
      <c r="R488" s="451"/>
      <c r="S488" s="445">
        <f t="shared" si="95"/>
        <v>0</v>
      </c>
      <c r="T488" s="451"/>
      <c r="U488" s="451"/>
      <c r="V488" s="451"/>
    </row>
    <row r="489" spans="1:22" s="441" customFormat="1" ht="15.75">
      <c r="A489" s="580"/>
      <c r="B489" s="572"/>
      <c r="C489" s="589">
        <v>4260</v>
      </c>
      <c r="D489" s="450" t="s">
        <v>108</v>
      </c>
      <c r="E489" s="502">
        <f t="shared" si="91"/>
        <v>13800</v>
      </c>
      <c r="F489" s="445">
        <f t="shared" si="92"/>
        <v>13800</v>
      </c>
      <c r="G489" s="445">
        <f t="shared" si="93"/>
        <v>13800</v>
      </c>
      <c r="H489" s="451">
        <v>13800</v>
      </c>
      <c r="I489" s="445">
        <f t="shared" si="94"/>
        <v>0</v>
      </c>
      <c r="J489" s="451"/>
      <c r="K489" s="451"/>
      <c r="L489" s="451"/>
      <c r="M489" s="451"/>
      <c r="N489" s="451"/>
      <c r="O489" s="451"/>
      <c r="P489" s="451"/>
      <c r="Q489" s="451"/>
      <c r="R489" s="451"/>
      <c r="S489" s="445">
        <f t="shared" si="95"/>
        <v>0</v>
      </c>
      <c r="T489" s="451"/>
      <c r="U489" s="451"/>
      <c r="V489" s="451"/>
    </row>
    <row r="490" spans="1:22" s="441" customFormat="1" ht="30">
      <c r="A490" s="580"/>
      <c r="B490" s="572"/>
      <c r="C490" s="589">
        <v>4270</v>
      </c>
      <c r="D490" s="450" t="s">
        <v>109</v>
      </c>
      <c r="E490" s="502">
        <f t="shared" si="91"/>
        <v>11400</v>
      </c>
      <c r="F490" s="445">
        <f t="shared" si="92"/>
        <v>11400</v>
      </c>
      <c r="G490" s="445">
        <f t="shared" si="93"/>
        <v>11400</v>
      </c>
      <c r="H490" s="451">
        <v>11400</v>
      </c>
      <c r="I490" s="445">
        <f t="shared" si="94"/>
        <v>0</v>
      </c>
      <c r="J490" s="451"/>
      <c r="K490" s="451"/>
      <c r="L490" s="451"/>
      <c r="M490" s="451"/>
      <c r="N490" s="451"/>
      <c r="O490" s="451"/>
      <c r="P490" s="451"/>
      <c r="Q490" s="451"/>
      <c r="R490" s="451"/>
      <c r="S490" s="445">
        <f t="shared" si="95"/>
        <v>0</v>
      </c>
      <c r="T490" s="451"/>
      <c r="U490" s="451"/>
      <c r="V490" s="451"/>
    </row>
    <row r="491" spans="1:22" s="441" customFormat="1" ht="32.25" customHeight="1">
      <c r="A491" s="580"/>
      <c r="B491" s="572"/>
      <c r="C491" s="589">
        <v>4280</v>
      </c>
      <c r="D491" s="450" t="s">
        <v>110</v>
      </c>
      <c r="E491" s="502">
        <f t="shared" si="91"/>
        <v>1455</v>
      </c>
      <c r="F491" s="445">
        <f t="shared" si="92"/>
        <v>1455</v>
      </c>
      <c r="G491" s="445">
        <f t="shared" si="93"/>
        <v>1455</v>
      </c>
      <c r="H491" s="451">
        <v>1455</v>
      </c>
      <c r="I491" s="445">
        <f t="shared" si="94"/>
        <v>0</v>
      </c>
      <c r="J491" s="451"/>
      <c r="K491" s="451"/>
      <c r="L491" s="451"/>
      <c r="M491" s="451"/>
      <c r="N491" s="451"/>
      <c r="O491" s="451"/>
      <c r="P491" s="451"/>
      <c r="Q491" s="451"/>
      <c r="R491" s="451"/>
      <c r="S491" s="445">
        <f t="shared" si="95"/>
        <v>0</v>
      </c>
      <c r="T491" s="451"/>
      <c r="U491" s="451"/>
      <c r="V491" s="451"/>
    </row>
    <row r="492" spans="1:22" s="441" customFormat="1" ht="30">
      <c r="A492" s="580"/>
      <c r="B492" s="572"/>
      <c r="C492" s="589">
        <v>4300</v>
      </c>
      <c r="D492" s="450" t="s">
        <v>90</v>
      </c>
      <c r="E492" s="502">
        <f t="shared" si="91"/>
        <v>31200</v>
      </c>
      <c r="F492" s="445">
        <f t="shared" si="92"/>
        <v>31200</v>
      </c>
      <c r="G492" s="445">
        <f t="shared" si="93"/>
        <v>31200</v>
      </c>
      <c r="H492" s="451">
        <v>31200</v>
      </c>
      <c r="I492" s="445">
        <f t="shared" si="94"/>
        <v>0</v>
      </c>
      <c r="J492" s="451"/>
      <c r="K492" s="451"/>
      <c r="L492" s="451"/>
      <c r="M492" s="451"/>
      <c r="N492" s="451"/>
      <c r="O492" s="451"/>
      <c r="P492" s="451"/>
      <c r="Q492" s="451"/>
      <c r="R492" s="451"/>
      <c r="S492" s="445">
        <f t="shared" si="95"/>
        <v>0</v>
      </c>
      <c r="T492" s="451"/>
      <c r="U492" s="451"/>
      <c r="V492" s="451"/>
    </row>
    <row r="493" spans="1:22" s="441" customFormat="1" ht="59.25" customHeight="1">
      <c r="A493" s="580"/>
      <c r="B493" s="572"/>
      <c r="C493" s="589">
        <v>4350</v>
      </c>
      <c r="D493" s="450" t="s">
        <v>801</v>
      </c>
      <c r="E493" s="502">
        <f t="shared" si="91"/>
        <v>0</v>
      </c>
      <c r="F493" s="445">
        <f t="shared" si="92"/>
        <v>0</v>
      </c>
      <c r="G493" s="445">
        <f t="shared" si="93"/>
        <v>0</v>
      </c>
      <c r="H493" s="451"/>
      <c r="I493" s="445">
        <f t="shared" si="94"/>
        <v>0</v>
      </c>
      <c r="J493" s="451"/>
      <c r="K493" s="451"/>
      <c r="L493" s="451"/>
      <c r="M493" s="451"/>
      <c r="N493" s="451"/>
      <c r="O493" s="451"/>
      <c r="P493" s="451"/>
      <c r="Q493" s="451"/>
      <c r="R493" s="451"/>
      <c r="S493" s="445">
        <f t="shared" si="95"/>
        <v>0</v>
      </c>
      <c r="T493" s="451"/>
      <c r="U493" s="451"/>
      <c r="V493" s="451"/>
    </row>
    <row r="494" spans="1:22" s="441" customFormat="1" ht="59.25" customHeight="1">
      <c r="A494" s="580"/>
      <c r="B494" s="572"/>
      <c r="C494" s="589">
        <v>4360</v>
      </c>
      <c r="D494" s="450" t="s">
        <v>245</v>
      </c>
      <c r="E494" s="502">
        <f t="shared" si="91"/>
        <v>500</v>
      </c>
      <c r="F494" s="445">
        <f t="shared" si="92"/>
        <v>500</v>
      </c>
      <c r="G494" s="445">
        <f t="shared" si="93"/>
        <v>500</v>
      </c>
      <c r="H494" s="451">
        <v>500</v>
      </c>
      <c r="I494" s="445">
        <f t="shared" si="94"/>
        <v>0</v>
      </c>
      <c r="J494" s="451"/>
      <c r="K494" s="451"/>
      <c r="L494" s="451"/>
      <c r="M494" s="451"/>
      <c r="N494" s="451"/>
      <c r="O494" s="451"/>
      <c r="P494" s="451"/>
      <c r="Q494" s="451"/>
      <c r="R494" s="451"/>
      <c r="S494" s="445">
        <f t="shared" si="95"/>
        <v>0</v>
      </c>
      <c r="T494" s="451"/>
      <c r="U494" s="451"/>
      <c r="V494" s="451"/>
    </row>
    <row r="495" spans="1:22" s="441" customFormat="1" ht="72.75" customHeight="1">
      <c r="A495" s="580"/>
      <c r="B495" s="572"/>
      <c r="C495" s="589">
        <v>4370</v>
      </c>
      <c r="D495" s="450" t="s">
        <v>238</v>
      </c>
      <c r="E495" s="502">
        <f aca="true" t="shared" si="98" ref="E495:E558">F495+S495</f>
        <v>3100</v>
      </c>
      <c r="F495" s="445">
        <f t="shared" si="92"/>
        <v>3100</v>
      </c>
      <c r="G495" s="445">
        <f t="shared" si="93"/>
        <v>3100</v>
      </c>
      <c r="H495" s="451">
        <v>3100</v>
      </c>
      <c r="I495" s="445">
        <f t="shared" si="94"/>
        <v>0</v>
      </c>
      <c r="J495" s="451"/>
      <c r="K495" s="451"/>
      <c r="L495" s="451"/>
      <c r="M495" s="451"/>
      <c r="N495" s="451"/>
      <c r="O495" s="451"/>
      <c r="P495" s="451"/>
      <c r="Q495" s="451"/>
      <c r="R495" s="451"/>
      <c r="S495" s="445">
        <f t="shared" si="95"/>
        <v>0</v>
      </c>
      <c r="T495" s="451"/>
      <c r="U495" s="451"/>
      <c r="V495" s="451"/>
    </row>
    <row r="496" spans="1:22" s="441" customFormat="1" ht="41.25" customHeight="1">
      <c r="A496" s="580"/>
      <c r="B496" s="572"/>
      <c r="C496" s="589">
        <v>4410</v>
      </c>
      <c r="D496" s="450" t="s">
        <v>115</v>
      </c>
      <c r="E496" s="502">
        <f t="shared" si="98"/>
        <v>630</v>
      </c>
      <c r="F496" s="445">
        <f aca="true" t="shared" si="99" ref="F496:F559">G496+N496+O496+P496+Q496+R496</f>
        <v>630</v>
      </c>
      <c r="G496" s="445">
        <f aca="true" t="shared" si="100" ref="G496:G559">H496+I496</f>
        <v>630</v>
      </c>
      <c r="H496" s="451">
        <v>630</v>
      </c>
      <c r="I496" s="445">
        <f aca="true" t="shared" si="101" ref="I496:I559">SUM(J496:M496)</f>
        <v>0</v>
      </c>
      <c r="J496" s="451"/>
      <c r="K496" s="451"/>
      <c r="L496" s="451"/>
      <c r="M496" s="451"/>
      <c r="N496" s="451"/>
      <c r="O496" s="451"/>
      <c r="P496" s="451"/>
      <c r="Q496" s="451"/>
      <c r="R496" s="451"/>
      <c r="S496" s="445">
        <f aca="true" t="shared" si="102" ref="S496:S559">T496+V496</f>
        <v>0</v>
      </c>
      <c r="T496" s="451"/>
      <c r="U496" s="451"/>
      <c r="V496" s="451"/>
    </row>
    <row r="497" spans="1:22" s="441" customFormat="1" ht="21.75" customHeight="1">
      <c r="A497" s="580"/>
      <c r="B497" s="572"/>
      <c r="C497" s="589">
        <v>4430</v>
      </c>
      <c r="D497" s="450" t="s">
        <v>116</v>
      </c>
      <c r="E497" s="502">
        <f t="shared" si="98"/>
        <v>9200</v>
      </c>
      <c r="F497" s="445">
        <f t="shared" si="99"/>
        <v>9200</v>
      </c>
      <c r="G497" s="445">
        <f t="shared" si="100"/>
        <v>9200</v>
      </c>
      <c r="H497" s="451">
        <v>9200</v>
      </c>
      <c r="I497" s="445">
        <f t="shared" si="101"/>
        <v>0</v>
      </c>
      <c r="J497" s="451"/>
      <c r="K497" s="451"/>
      <c r="L497" s="451"/>
      <c r="M497" s="451"/>
      <c r="N497" s="451"/>
      <c r="O497" s="451"/>
      <c r="P497" s="451"/>
      <c r="Q497" s="451"/>
      <c r="R497" s="451"/>
      <c r="S497" s="445">
        <f t="shared" si="102"/>
        <v>0</v>
      </c>
      <c r="T497" s="451"/>
      <c r="U497" s="451"/>
      <c r="V497" s="451"/>
    </row>
    <row r="498" spans="1:22" s="441" customFormat="1" ht="45.75" customHeight="1">
      <c r="A498" s="580"/>
      <c r="B498" s="572"/>
      <c r="C498" s="589">
        <v>4440</v>
      </c>
      <c r="D498" s="450" t="s">
        <v>117</v>
      </c>
      <c r="E498" s="502">
        <f t="shared" si="98"/>
        <v>17831</v>
      </c>
      <c r="F498" s="445">
        <f t="shared" si="99"/>
        <v>17831</v>
      </c>
      <c r="G498" s="445">
        <f t="shared" si="100"/>
        <v>17831</v>
      </c>
      <c r="H498" s="451">
        <v>17831</v>
      </c>
      <c r="I498" s="445">
        <f t="shared" si="101"/>
        <v>0</v>
      </c>
      <c r="J498" s="451"/>
      <c r="K498" s="451"/>
      <c r="L498" s="451"/>
      <c r="M498" s="451"/>
      <c r="N498" s="451"/>
      <c r="O498" s="451"/>
      <c r="P498" s="451"/>
      <c r="Q498" s="451"/>
      <c r="R498" s="451"/>
      <c r="S498" s="445">
        <f t="shared" si="102"/>
        <v>0</v>
      </c>
      <c r="T498" s="451"/>
      <c r="U498" s="451"/>
      <c r="V498" s="451"/>
    </row>
    <row r="499" spans="1:22" s="441" customFormat="1" ht="30">
      <c r="A499" s="580"/>
      <c r="B499" s="572"/>
      <c r="C499" s="589">
        <v>4480</v>
      </c>
      <c r="D499" s="450" t="s">
        <v>118</v>
      </c>
      <c r="E499" s="502">
        <f t="shared" si="98"/>
        <v>1600</v>
      </c>
      <c r="F499" s="445">
        <f t="shared" si="99"/>
        <v>1600</v>
      </c>
      <c r="G499" s="445">
        <f t="shared" si="100"/>
        <v>1600</v>
      </c>
      <c r="H499" s="451">
        <v>1600</v>
      </c>
      <c r="I499" s="445">
        <f t="shared" si="101"/>
        <v>0</v>
      </c>
      <c r="J499" s="451"/>
      <c r="K499" s="451"/>
      <c r="L499" s="451"/>
      <c r="M499" s="451"/>
      <c r="N499" s="451"/>
      <c r="O499" s="451"/>
      <c r="P499" s="451"/>
      <c r="Q499" s="451"/>
      <c r="R499" s="451"/>
      <c r="S499" s="445">
        <f t="shared" si="102"/>
        <v>0</v>
      </c>
      <c r="T499" s="451"/>
      <c r="U499" s="451"/>
      <c r="V499" s="451"/>
    </row>
    <row r="500" spans="1:22" s="441" customFormat="1" ht="37.5" customHeight="1">
      <c r="A500" s="580"/>
      <c r="B500" s="572"/>
      <c r="C500" s="589">
        <v>4520</v>
      </c>
      <c r="D500" s="450" t="s">
        <v>591</v>
      </c>
      <c r="E500" s="502">
        <f t="shared" si="98"/>
        <v>12546</v>
      </c>
      <c r="F500" s="445">
        <f t="shared" si="99"/>
        <v>12546</v>
      </c>
      <c r="G500" s="445">
        <f t="shared" si="100"/>
        <v>12546</v>
      </c>
      <c r="H500" s="451">
        <v>12546</v>
      </c>
      <c r="I500" s="445">
        <f t="shared" si="101"/>
        <v>0</v>
      </c>
      <c r="J500" s="451"/>
      <c r="K500" s="451"/>
      <c r="L500" s="451"/>
      <c r="M500" s="451"/>
      <c r="N500" s="451"/>
      <c r="O500" s="451"/>
      <c r="P500" s="451"/>
      <c r="Q500" s="451"/>
      <c r="R500" s="451"/>
      <c r="S500" s="445">
        <f t="shared" si="102"/>
        <v>0</v>
      </c>
      <c r="T500" s="451"/>
      <c r="U500" s="451"/>
      <c r="V500" s="451"/>
    </row>
    <row r="501" spans="1:22" s="441" customFormat="1" ht="48" customHeight="1">
      <c r="A501" s="580"/>
      <c r="B501" s="572"/>
      <c r="C501" s="589">
        <v>4700</v>
      </c>
      <c r="D501" s="450" t="s">
        <v>385</v>
      </c>
      <c r="E501" s="502">
        <f t="shared" si="98"/>
        <v>1200</v>
      </c>
      <c r="F501" s="445">
        <f t="shared" si="99"/>
        <v>1200</v>
      </c>
      <c r="G501" s="445">
        <f t="shared" si="100"/>
        <v>1200</v>
      </c>
      <c r="H501" s="451">
        <v>1200</v>
      </c>
      <c r="I501" s="445">
        <f t="shared" si="101"/>
        <v>0</v>
      </c>
      <c r="J501" s="451"/>
      <c r="K501" s="451"/>
      <c r="L501" s="451"/>
      <c r="M501" s="451"/>
      <c r="N501" s="451"/>
      <c r="O501" s="451"/>
      <c r="P501" s="451"/>
      <c r="Q501" s="451"/>
      <c r="R501" s="451"/>
      <c r="S501" s="445">
        <f t="shared" si="102"/>
        <v>0</v>
      </c>
      <c r="T501" s="451"/>
      <c r="U501" s="451"/>
      <c r="V501" s="451"/>
    </row>
    <row r="502" spans="1:22" s="441" customFormat="1" ht="60.75" customHeight="1">
      <c r="A502" s="580"/>
      <c r="B502" s="572"/>
      <c r="C502" s="589">
        <v>4740</v>
      </c>
      <c r="D502" s="450" t="s">
        <v>199</v>
      </c>
      <c r="E502" s="502">
        <f t="shared" si="98"/>
        <v>1000</v>
      </c>
      <c r="F502" s="445">
        <f t="shared" si="99"/>
        <v>1000</v>
      </c>
      <c r="G502" s="445">
        <f t="shared" si="100"/>
        <v>1000</v>
      </c>
      <c r="H502" s="451">
        <v>1000</v>
      </c>
      <c r="I502" s="445">
        <f t="shared" si="101"/>
        <v>0</v>
      </c>
      <c r="J502" s="451"/>
      <c r="K502" s="451"/>
      <c r="L502" s="451"/>
      <c r="M502" s="451"/>
      <c r="N502" s="451"/>
      <c r="O502" s="451"/>
      <c r="P502" s="451"/>
      <c r="Q502" s="451"/>
      <c r="R502" s="451"/>
      <c r="S502" s="445">
        <f t="shared" si="102"/>
        <v>0</v>
      </c>
      <c r="T502" s="451"/>
      <c r="U502" s="451"/>
      <c r="V502" s="451"/>
    </row>
    <row r="503" spans="1:22" s="441" customFormat="1" ht="50.25" customHeight="1">
      <c r="A503" s="580"/>
      <c r="B503" s="572"/>
      <c r="C503" s="589">
        <v>4750</v>
      </c>
      <c r="D503" s="450" t="s">
        <v>239</v>
      </c>
      <c r="E503" s="502">
        <f t="shared" si="98"/>
        <v>1200</v>
      </c>
      <c r="F503" s="445">
        <f t="shared" si="99"/>
        <v>1200</v>
      </c>
      <c r="G503" s="445">
        <f t="shared" si="100"/>
        <v>1200</v>
      </c>
      <c r="H503" s="451">
        <v>1200</v>
      </c>
      <c r="I503" s="445">
        <f t="shared" si="101"/>
        <v>0</v>
      </c>
      <c r="J503" s="451"/>
      <c r="K503" s="451"/>
      <c r="L503" s="451"/>
      <c r="M503" s="451"/>
      <c r="N503" s="451"/>
      <c r="O503" s="451"/>
      <c r="P503" s="451"/>
      <c r="Q503" s="451"/>
      <c r="R503" s="451"/>
      <c r="S503" s="445">
        <f t="shared" si="102"/>
        <v>0</v>
      </c>
      <c r="T503" s="451"/>
      <c r="U503" s="451"/>
      <c r="V503" s="451"/>
    </row>
    <row r="504" spans="1:22" s="449" customFormat="1" ht="15.75">
      <c r="A504" s="579"/>
      <c r="B504" s="571">
        <v>85204</v>
      </c>
      <c r="C504" s="588"/>
      <c r="D504" s="262" t="s">
        <v>273</v>
      </c>
      <c r="E504" s="502">
        <f t="shared" si="98"/>
        <v>2228531</v>
      </c>
      <c r="F504" s="445">
        <f t="shared" si="99"/>
        <v>2228531</v>
      </c>
      <c r="G504" s="445">
        <f t="shared" si="100"/>
        <v>243920</v>
      </c>
      <c r="H504" s="448">
        <f>SUM(H505:H509)</f>
        <v>0</v>
      </c>
      <c r="I504" s="445">
        <f t="shared" si="101"/>
        <v>243920</v>
      </c>
      <c r="J504" s="448">
        <f aca="true" t="shared" si="103" ref="J504:R504">SUM(J505:J509)</f>
        <v>0</v>
      </c>
      <c r="K504" s="448">
        <f t="shared" si="103"/>
        <v>0</v>
      </c>
      <c r="L504" s="448">
        <f t="shared" si="103"/>
        <v>35920</v>
      </c>
      <c r="M504" s="448">
        <f t="shared" si="103"/>
        <v>208000</v>
      </c>
      <c r="N504" s="448">
        <f t="shared" si="103"/>
        <v>1788857</v>
      </c>
      <c r="O504" s="448">
        <f t="shared" si="103"/>
        <v>195754</v>
      </c>
      <c r="P504" s="448">
        <f>SUM(P505:P509)</f>
        <v>0</v>
      </c>
      <c r="Q504" s="448">
        <f t="shared" si="103"/>
        <v>0</v>
      </c>
      <c r="R504" s="448">
        <f t="shared" si="103"/>
        <v>0</v>
      </c>
      <c r="S504" s="445">
        <f t="shared" si="102"/>
        <v>0</v>
      </c>
      <c r="T504" s="448">
        <f>SUM(T505:T509)</f>
        <v>0</v>
      </c>
      <c r="U504" s="448">
        <f>SUM(U505:U509)</f>
        <v>0</v>
      </c>
      <c r="V504" s="448">
        <f>SUM(V505:V509)</f>
        <v>0</v>
      </c>
    </row>
    <row r="505" spans="1:22" s="441" customFormat="1" ht="120">
      <c r="A505" s="580"/>
      <c r="B505" s="572"/>
      <c r="C505" s="589">
        <v>2320</v>
      </c>
      <c r="D505" s="450" t="s">
        <v>264</v>
      </c>
      <c r="E505" s="502">
        <f t="shared" si="98"/>
        <v>195754</v>
      </c>
      <c r="F505" s="445">
        <f t="shared" si="99"/>
        <v>195754</v>
      </c>
      <c r="G505" s="445">
        <f t="shared" si="100"/>
        <v>0</v>
      </c>
      <c r="H505" s="451"/>
      <c r="I505" s="445">
        <f t="shared" si="101"/>
        <v>0</v>
      </c>
      <c r="J505" s="451"/>
      <c r="K505" s="451"/>
      <c r="L505" s="451"/>
      <c r="M505" s="451"/>
      <c r="N505" s="451"/>
      <c r="O505" s="451">
        <v>195754</v>
      </c>
      <c r="P505" s="451"/>
      <c r="Q505" s="451"/>
      <c r="R505" s="451"/>
      <c r="S505" s="445">
        <f t="shared" si="102"/>
        <v>0</v>
      </c>
      <c r="T505" s="451"/>
      <c r="U505" s="451"/>
      <c r="V505" s="451"/>
    </row>
    <row r="506" spans="1:22" s="441" customFormat="1" ht="15.75">
      <c r="A506" s="580"/>
      <c r="B506" s="572"/>
      <c r="C506" s="589">
        <v>3110</v>
      </c>
      <c r="D506" s="450" t="s">
        <v>265</v>
      </c>
      <c r="E506" s="502">
        <f t="shared" si="98"/>
        <v>1788857</v>
      </c>
      <c r="F506" s="445">
        <f t="shared" si="99"/>
        <v>1788857</v>
      </c>
      <c r="G506" s="445">
        <f t="shared" si="100"/>
        <v>0</v>
      </c>
      <c r="H506" s="451"/>
      <c r="I506" s="445">
        <f t="shared" si="101"/>
        <v>0</v>
      </c>
      <c r="J506" s="451"/>
      <c r="K506" s="451"/>
      <c r="L506" s="451"/>
      <c r="M506" s="451"/>
      <c r="N506" s="451">
        <v>1788857</v>
      </c>
      <c r="O506" s="451"/>
      <c r="P506" s="451"/>
      <c r="Q506" s="451"/>
      <c r="R506" s="451"/>
      <c r="S506" s="445">
        <f t="shared" si="102"/>
        <v>0</v>
      </c>
      <c r="T506" s="451"/>
      <c r="U506" s="451"/>
      <c r="V506" s="451"/>
    </row>
    <row r="507" spans="1:22" s="441" customFormat="1" ht="48.75" customHeight="1">
      <c r="A507" s="580"/>
      <c r="B507" s="572"/>
      <c r="C507" s="589">
        <v>4170</v>
      </c>
      <c r="D507" s="450" t="s">
        <v>106</v>
      </c>
      <c r="E507" s="502">
        <f t="shared" si="98"/>
        <v>208000</v>
      </c>
      <c r="F507" s="445">
        <f t="shared" si="99"/>
        <v>208000</v>
      </c>
      <c r="G507" s="445">
        <f t="shared" si="100"/>
        <v>208000</v>
      </c>
      <c r="H507" s="451"/>
      <c r="I507" s="445">
        <f t="shared" si="101"/>
        <v>208000</v>
      </c>
      <c r="J507" s="451"/>
      <c r="K507" s="451"/>
      <c r="L507" s="451"/>
      <c r="M507" s="451">
        <v>208000</v>
      </c>
      <c r="N507" s="451"/>
      <c r="O507" s="451"/>
      <c r="P507" s="451"/>
      <c r="Q507" s="451"/>
      <c r="R507" s="451"/>
      <c r="S507" s="445">
        <f t="shared" si="102"/>
        <v>0</v>
      </c>
      <c r="T507" s="451"/>
      <c r="U507" s="451"/>
      <c r="V507" s="451"/>
    </row>
    <row r="508" spans="1:22" s="441" customFormat="1" ht="51" customHeight="1">
      <c r="A508" s="580"/>
      <c r="B508" s="572"/>
      <c r="C508" s="589">
        <v>4110</v>
      </c>
      <c r="D508" s="450" t="s">
        <v>234</v>
      </c>
      <c r="E508" s="502">
        <f t="shared" si="98"/>
        <v>30920</v>
      </c>
      <c r="F508" s="445">
        <f t="shared" si="99"/>
        <v>30920</v>
      </c>
      <c r="G508" s="445">
        <f t="shared" si="100"/>
        <v>30920</v>
      </c>
      <c r="H508" s="451"/>
      <c r="I508" s="445">
        <f t="shared" si="101"/>
        <v>30920</v>
      </c>
      <c r="J508" s="451"/>
      <c r="K508" s="451"/>
      <c r="L508" s="451">
        <v>30920</v>
      </c>
      <c r="M508" s="451"/>
      <c r="N508" s="451"/>
      <c r="O508" s="451"/>
      <c r="P508" s="451"/>
      <c r="Q508" s="451"/>
      <c r="R508" s="451"/>
      <c r="S508" s="445">
        <f t="shared" si="102"/>
        <v>0</v>
      </c>
      <c r="T508" s="451"/>
      <c r="U508" s="451"/>
      <c r="V508" s="451"/>
    </row>
    <row r="509" spans="1:22" s="441" customFormat="1" ht="31.5" customHeight="1">
      <c r="A509" s="580"/>
      <c r="B509" s="572"/>
      <c r="C509" s="589">
        <v>4120</v>
      </c>
      <c r="D509" s="450" t="s">
        <v>105</v>
      </c>
      <c r="E509" s="502">
        <f t="shared" si="98"/>
        <v>5000</v>
      </c>
      <c r="F509" s="445">
        <f t="shared" si="99"/>
        <v>5000</v>
      </c>
      <c r="G509" s="445">
        <f t="shared" si="100"/>
        <v>5000</v>
      </c>
      <c r="H509" s="451"/>
      <c r="I509" s="445">
        <f t="shared" si="101"/>
        <v>5000</v>
      </c>
      <c r="J509" s="451"/>
      <c r="K509" s="451"/>
      <c r="L509" s="451">
        <v>5000</v>
      </c>
      <c r="M509" s="451"/>
      <c r="N509" s="451"/>
      <c r="O509" s="451"/>
      <c r="P509" s="451"/>
      <c r="Q509" s="451"/>
      <c r="R509" s="451"/>
      <c r="S509" s="445">
        <f t="shared" si="102"/>
        <v>0</v>
      </c>
      <c r="T509" s="451"/>
      <c r="U509" s="451"/>
      <c r="V509" s="451"/>
    </row>
    <row r="510" spans="1:22" s="449" customFormat="1" ht="31.5">
      <c r="A510" s="579"/>
      <c r="B510" s="571">
        <v>85218</v>
      </c>
      <c r="C510" s="588"/>
      <c r="D510" s="262" t="s">
        <v>274</v>
      </c>
      <c r="E510" s="502">
        <f t="shared" si="98"/>
        <v>764118</v>
      </c>
      <c r="F510" s="445">
        <f t="shared" si="99"/>
        <v>740118</v>
      </c>
      <c r="G510" s="445">
        <f t="shared" si="100"/>
        <v>739118</v>
      </c>
      <c r="H510" s="448">
        <f>SUM(H511:H534)</f>
        <v>189431</v>
      </c>
      <c r="I510" s="445">
        <f t="shared" si="101"/>
        <v>549687</v>
      </c>
      <c r="J510" s="448">
        <f aca="true" t="shared" si="104" ref="J510:R510">SUM(J511:J534)</f>
        <v>430663</v>
      </c>
      <c r="K510" s="448">
        <f t="shared" si="104"/>
        <v>30789</v>
      </c>
      <c r="L510" s="448">
        <f t="shared" si="104"/>
        <v>80435</v>
      </c>
      <c r="M510" s="448">
        <f t="shared" si="104"/>
        <v>7800</v>
      </c>
      <c r="N510" s="448">
        <f t="shared" si="104"/>
        <v>1000</v>
      </c>
      <c r="O510" s="448">
        <f t="shared" si="104"/>
        <v>0</v>
      </c>
      <c r="P510" s="448">
        <f>SUM(P511:P534)</f>
        <v>0</v>
      </c>
      <c r="Q510" s="448">
        <f t="shared" si="104"/>
        <v>0</v>
      </c>
      <c r="R510" s="448">
        <f t="shared" si="104"/>
        <v>0</v>
      </c>
      <c r="S510" s="445">
        <f t="shared" si="102"/>
        <v>24000</v>
      </c>
      <c r="T510" s="448">
        <f>SUM(T511:T534)</f>
        <v>24000</v>
      </c>
      <c r="U510" s="448">
        <f>SUM(U511:U534)</f>
        <v>0</v>
      </c>
      <c r="V510" s="448">
        <f>SUM(V511:V534)</f>
        <v>0</v>
      </c>
    </row>
    <row r="511" spans="1:22" s="441" customFormat="1" ht="45">
      <c r="A511" s="580"/>
      <c r="B511" s="572"/>
      <c r="C511" s="589">
        <v>3020</v>
      </c>
      <c r="D511" s="450" t="s">
        <v>386</v>
      </c>
      <c r="E511" s="502">
        <f t="shared" si="98"/>
        <v>1000</v>
      </c>
      <c r="F511" s="445">
        <f t="shared" si="99"/>
        <v>1000</v>
      </c>
      <c r="G511" s="445">
        <f t="shared" si="100"/>
        <v>0</v>
      </c>
      <c r="H511" s="451"/>
      <c r="I511" s="445">
        <f t="shared" si="101"/>
        <v>0</v>
      </c>
      <c r="J511" s="451"/>
      <c r="K511" s="451"/>
      <c r="L511" s="451"/>
      <c r="M511" s="451"/>
      <c r="N511" s="451">
        <v>1000</v>
      </c>
      <c r="O511" s="451"/>
      <c r="P511" s="451"/>
      <c r="Q511" s="451"/>
      <c r="R511" s="451"/>
      <c r="S511" s="445">
        <f t="shared" si="102"/>
        <v>0</v>
      </c>
      <c r="T511" s="451"/>
      <c r="U511" s="451"/>
      <c r="V511" s="451"/>
    </row>
    <row r="512" spans="1:22" s="441" customFormat="1" ht="30">
      <c r="A512" s="580"/>
      <c r="B512" s="572"/>
      <c r="C512" s="589">
        <v>4010</v>
      </c>
      <c r="D512" s="450" t="s">
        <v>102</v>
      </c>
      <c r="E512" s="502">
        <f t="shared" si="98"/>
        <v>430663</v>
      </c>
      <c r="F512" s="445">
        <f t="shared" si="99"/>
        <v>430663</v>
      </c>
      <c r="G512" s="445">
        <f t="shared" si="100"/>
        <v>430663</v>
      </c>
      <c r="H512" s="451"/>
      <c r="I512" s="445">
        <f t="shared" si="101"/>
        <v>430663</v>
      </c>
      <c r="J512" s="451">
        <v>430663</v>
      </c>
      <c r="K512" s="451"/>
      <c r="L512" s="451"/>
      <c r="M512" s="451"/>
      <c r="N512" s="451"/>
      <c r="O512" s="451"/>
      <c r="P512" s="451"/>
      <c r="Q512" s="451"/>
      <c r="R512" s="451"/>
      <c r="S512" s="445">
        <f t="shared" si="102"/>
        <v>0</v>
      </c>
      <c r="T512" s="451"/>
      <c r="U512" s="451"/>
      <c r="V512" s="451"/>
    </row>
    <row r="513" spans="1:22" s="441" customFormat="1" ht="30">
      <c r="A513" s="580"/>
      <c r="B513" s="572"/>
      <c r="C513" s="589">
        <v>4040</v>
      </c>
      <c r="D513" s="450" t="s">
        <v>103</v>
      </c>
      <c r="E513" s="502">
        <f t="shared" si="98"/>
        <v>30789</v>
      </c>
      <c r="F513" s="445">
        <f t="shared" si="99"/>
        <v>30789</v>
      </c>
      <c r="G513" s="445">
        <f t="shared" si="100"/>
        <v>30789</v>
      </c>
      <c r="H513" s="451"/>
      <c r="I513" s="445">
        <f t="shared" si="101"/>
        <v>30789</v>
      </c>
      <c r="J513" s="451"/>
      <c r="K513" s="451">
        <v>30789</v>
      </c>
      <c r="L513" s="451"/>
      <c r="M513" s="451"/>
      <c r="N513" s="451"/>
      <c r="O513" s="451"/>
      <c r="P513" s="451"/>
      <c r="Q513" s="451"/>
      <c r="R513" s="451"/>
      <c r="S513" s="445">
        <f t="shared" si="102"/>
        <v>0</v>
      </c>
      <c r="T513" s="451"/>
      <c r="U513" s="451"/>
      <c r="V513" s="451"/>
    </row>
    <row r="514" spans="1:22" s="441" customFormat="1" ht="45">
      <c r="A514" s="580"/>
      <c r="B514" s="572"/>
      <c r="C514" s="589">
        <v>4110</v>
      </c>
      <c r="D514" s="450" t="s">
        <v>104</v>
      </c>
      <c r="E514" s="502">
        <f t="shared" si="98"/>
        <v>69375</v>
      </c>
      <c r="F514" s="445">
        <f t="shared" si="99"/>
        <v>69375</v>
      </c>
      <c r="G514" s="445">
        <f t="shared" si="100"/>
        <v>69375</v>
      </c>
      <c r="H514" s="451"/>
      <c r="I514" s="445">
        <f t="shared" si="101"/>
        <v>69375</v>
      </c>
      <c r="J514" s="451"/>
      <c r="K514" s="451"/>
      <c r="L514" s="451">
        <v>69375</v>
      </c>
      <c r="M514" s="451"/>
      <c r="N514" s="451"/>
      <c r="O514" s="451"/>
      <c r="P514" s="451"/>
      <c r="Q514" s="451"/>
      <c r="R514" s="451"/>
      <c r="S514" s="445">
        <f t="shared" si="102"/>
        <v>0</v>
      </c>
      <c r="T514" s="451"/>
      <c r="U514" s="451"/>
      <c r="V514" s="451"/>
    </row>
    <row r="515" spans="1:22" s="441" customFormat="1" ht="30">
      <c r="A515" s="580"/>
      <c r="B515" s="572"/>
      <c r="C515" s="589">
        <v>4120</v>
      </c>
      <c r="D515" s="450" t="s">
        <v>105</v>
      </c>
      <c r="E515" s="502">
        <f t="shared" si="98"/>
        <v>11060</v>
      </c>
      <c r="F515" s="445">
        <f t="shared" si="99"/>
        <v>11060</v>
      </c>
      <c r="G515" s="445">
        <f t="shared" si="100"/>
        <v>11060</v>
      </c>
      <c r="H515" s="451"/>
      <c r="I515" s="445">
        <f t="shared" si="101"/>
        <v>11060</v>
      </c>
      <c r="J515" s="451"/>
      <c r="K515" s="451"/>
      <c r="L515" s="451">
        <v>11060</v>
      </c>
      <c r="M515" s="451"/>
      <c r="N515" s="451"/>
      <c r="O515" s="451"/>
      <c r="P515" s="451"/>
      <c r="Q515" s="451"/>
      <c r="R515" s="451"/>
      <c r="S515" s="445">
        <f t="shared" si="102"/>
        <v>0</v>
      </c>
      <c r="T515" s="451"/>
      <c r="U515" s="451"/>
      <c r="V515" s="451"/>
    </row>
    <row r="516" spans="1:22" s="441" customFormat="1" ht="30">
      <c r="A516" s="580"/>
      <c r="B516" s="572"/>
      <c r="C516" s="589">
        <v>4170</v>
      </c>
      <c r="D516" s="450" t="s">
        <v>270</v>
      </c>
      <c r="E516" s="502">
        <f t="shared" si="98"/>
        <v>7800</v>
      </c>
      <c r="F516" s="445">
        <f t="shared" si="99"/>
        <v>7800</v>
      </c>
      <c r="G516" s="445">
        <f t="shared" si="100"/>
        <v>7800</v>
      </c>
      <c r="H516" s="451"/>
      <c r="I516" s="445">
        <f t="shared" si="101"/>
        <v>7800</v>
      </c>
      <c r="J516" s="451"/>
      <c r="K516" s="451"/>
      <c r="L516" s="451"/>
      <c r="M516" s="451">
        <v>7800</v>
      </c>
      <c r="N516" s="451"/>
      <c r="O516" s="451"/>
      <c r="P516" s="451"/>
      <c r="Q516" s="451"/>
      <c r="R516" s="451"/>
      <c r="S516" s="445">
        <f t="shared" si="102"/>
        <v>0</v>
      </c>
      <c r="T516" s="451"/>
      <c r="U516" s="451"/>
      <c r="V516" s="451"/>
    </row>
    <row r="517" spans="1:22" s="441" customFormat="1" ht="30">
      <c r="A517" s="580"/>
      <c r="B517" s="572"/>
      <c r="C517" s="589">
        <v>4210</v>
      </c>
      <c r="D517" s="450" t="s">
        <v>107</v>
      </c>
      <c r="E517" s="502">
        <f t="shared" si="98"/>
        <v>5902</v>
      </c>
      <c r="F517" s="445">
        <f t="shared" si="99"/>
        <v>5902</v>
      </c>
      <c r="G517" s="445">
        <f t="shared" si="100"/>
        <v>5902</v>
      </c>
      <c r="H517" s="451">
        <v>5902</v>
      </c>
      <c r="I517" s="445">
        <f t="shared" si="101"/>
        <v>0</v>
      </c>
      <c r="J517" s="451"/>
      <c r="K517" s="451"/>
      <c r="L517" s="451"/>
      <c r="M517" s="451"/>
      <c r="N517" s="451"/>
      <c r="O517" s="451"/>
      <c r="P517" s="451"/>
      <c r="Q517" s="451"/>
      <c r="R517" s="451"/>
      <c r="S517" s="445">
        <f t="shared" si="102"/>
        <v>0</v>
      </c>
      <c r="T517" s="451"/>
      <c r="U517" s="451"/>
      <c r="V517" s="451"/>
    </row>
    <row r="518" spans="1:22" s="441" customFormat="1" ht="45">
      <c r="A518" s="580"/>
      <c r="B518" s="572"/>
      <c r="C518" s="589">
        <v>4230</v>
      </c>
      <c r="D518" s="450" t="s">
        <v>590</v>
      </c>
      <c r="E518" s="502">
        <f t="shared" si="98"/>
        <v>100</v>
      </c>
      <c r="F518" s="445">
        <f t="shared" si="99"/>
        <v>100</v>
      </c>
      <c r="G518" s="445">
        <f t="shared" si="100"/>
        <v>100</v>
      </c>
      <c r="H518" s="451">
        <v>100</v>
      </c>
      <c r="I518" s="445">
        <f t="shared" si="101"/>
        <v>0</v>
      </c>
      <c r="J518" s="451"/>
      <c r="K518" s="451"/>
      <c r="L518" s="451"/>
      <c r="M518" s="451"/>
      <c r="N518" s="451"/>
      <c r="O518" s="451"/>
      <c r="P518" s="451"/>
      <c r="Q518" s="451"/>
      <c r="R518" s="451"/>
      <c r="S518" s="445">
        <f t="shared" si="102"/>
        <v>0</v>
      </c>
      <c r="T518" s="451"/>
      <c r="U518" s="451"/>
      <c r="V518" s="451"/>
    </row>
    <row r="519" spans="1:22" s="441" customFormat="1" ht="15.75">
      <c r="A519" s="580"/>
      <c r="B519" s="572"/>
      <c r="C519" s="589">
        <v>4260</v>
      </c>
      <c r="D519" s="450" t="s">
        <v>108</v>
      </c>
      <c r="E519" s="502">
        <f t="shared" si="98"/>
        <v>13030</v>
      </c>
      <c r="F519" s="445">
        <f t="shared" si="99"/>
        <v>13030</v>
      </c>
      <c r="G519" s="445">
        <f t="shared" si="100"/>
        <v>13030</v>
      </c>
      <c r="H519" s="451">
        <v>13030</v>
      </c>
      <c r="I519" s="445">
        <f t="shared" si="101"/>
        <v>0</v>
      </c>
      <c r="J519" s="451"/>
      <c r="K519" s="451"/>
      <c r="L519" s="451"/>
      <c r="M519" s="451"/>
      <c r="N519" s="451"/>
      <c r="O519" s="451"/>
      <c r="P519" s="451"/>
      <c r="Q519" s="451"/>
      <c r="R519" s="451"/>
      <c r="S519" s="445">
        <f t="shared" si="102"/>
        <v>0</v>
      </c>
      <c r="T519" s="451"/>
      <c r="U519" s="451"/>
      <c r="V519" s="451"/>
    </row>
    <row r="520" spans="1:22" s="441" customFormat="1" ht="30">
      <c r="A520" s="580"/>
      <c r="B520" s="572"/>
      <c r="C520" s="589">
        <v>4270</v>
      </c>
      <c r="D520" s="450" t="s">
        <v>109</v>
      </c>
      <c r="E520" s="502">
        <f t="shared" si="98"/>
        <v>1400</v>
      </c>
      <c r="F520" s="445">
        <f t="shared" si="99"/>
        <v>1400</v>
      </c>
      <c r="G520" s="445">
        <f t="shared" si="100"/>
        <v>1400</v>
      </c>
      <c r="H520" s="451">
        <v>1400</v>
      </c>
      <c r="I520" s="445">
        <f t="shared" si="101"/>
        <v>0</v>
      </c>
      <c r="J520" s="451"/>
      <c r="K520" s="451"/>
      <c r="L520" s="451"/>
      <c r="M520" s="451"/>
      <c r="N520" s="451"/>
      <c r="O520" s="451"/>
      <c r="P520" s="451"/>
      <c r="Q520" s="451"/>
      <c r="R520" s="451"/>
      <c r="S520" s="445">
        <f t="shared" si="102"/>
        <v>0</v>
      </c>
      <c r="T520" s="451"/>
      <c r="U520" s="451"/>
      <c r="V520" s="451"/>
    </row>
    <row r="521" spans="1:22" s="441" customFormat="1" ht="34.5" customHeight="1">
      <c r="A521" s="580"/>
      <c r="B521" s="572"/>
      <c r="C521" s="589">
        <v>4280</v>
      </c>
      <c r="D521" s="450" t="s">
        <v>110</v>
      </c>
      <c r="E521" s="502">
        <f t="shared" si="98"/>
        <v>466</v>
      </c>
      <c r="F521" s="445">
        <f t="shared" si="99"/>
        <v>466</v>
      </c>
      <c r="G521" s="445">
        <f t="shared" si="100"/>
        <v>466</v>
      </c>
      <c r="H521" s="451">
        <v>466</v>
      </c>
      <c r="I521" s="445">
        <f t="shared" si="101"/>
        <v>0</v>
      </c>
      <c r="J521" s="451"/>
      <c r="K521" s="451"/>
      <c r="L521" s="451"/>
      <c r="M521" s="451"/>
      <c r="N521" s="451"/>
      <c r="O521" s="451"/>
      <c r="P521" s="451"/>
      <c r="Q521" s="451"/>
      <c r="R521" s="451"/>
      <c r="S521" s="445">
        <f t="shared" si="102"/>
        <v>0</v>
      </c>
      <c r="T521" s="451"/>
      <c r="U521" s="451"/>
      <c r="V521" s="451"/>
    </row>
    <row r="522" spans="1:22" s="441" customFormat="1" ht="30">
      <c r="A522" s="580"/>
      <c r="B522" s="572"/>
      <c r="C522" s="589">
        <v>4300</v>
      </c>
      <c r="D522" s="450" t="s">
        <v>90</v>
      </c>
      <c r="E522" s="502">
        <f t="shared" si="98"/>
        <v>30609</v>
      </c>
      <c r="F522" s="445">
        <f t="shared" si="99"/>
        <v>30609</v>
      </c>
      <c r="G522" s="445">
        <f t="shared" si="100"/>
        <v>30609</v>
      </c>
      <c r="H522" s="451">
        <v>30609</v>
      </c>
      <c r="I522" s="445">
        <f t="shared" si="101"/>
        <v>0</v>
      </c>
      <c r="J522" s="451"/>
      <c r="K522" s="451"/>
      <c r="L522" s="451"/>
      <c r="M522" s="451"/>
      <c r="N522" s="451"/>
      <c r="O522" s="451"/>
      <c r="P522" s="451"/>
      <c r="Q522" s="451"/>
      <c r="R522" s="451"/>
      <c r="S522" s="445">
        <f t="shared" si="102"/>
        <v>0</v>
      </c>
      <c r="T522" s="451"/>
      <c r="U522" s="451"/>
      <c r="V522" s="451"/>
    </row>
    <row r="523" spans="1:22" s="441" customFormat="1" ht="37.5" customHeight="1">
      <c r="A523" s="580"/>
      <c r="B523" s="572"/>
      <c r="C523" s="589">
        <v>4350</v>
      </c>
      <c r="D523" s="450" t="s">
        <v>111</v>
      </c>
      <c r="E523" s="502">
        <f t="shared" si="98"/>
        <v>2400</v>
      </c>
      <c r="F523" s="445">
        <f t="shared" si="99"/>
        <v>2400</v>
      </c>
      <c r="G523" s="445">
        <f t="shared" si="100"/>
        <v>2400</v>
      </c>
      <c r="H523" s="451">
        <v>2400</v>
      </c>
      <c r="I523" s="445">
        <f t="shared" si="101"/>
        <v>0</v>
      </c>
      <c r="J523" s="451"/>
      <c r="K523" s="451"/>
      <c r="L523" s="451"/>
      <c r="M523" s="451"/>
      <c r="N523" s="451"/>
      <c r="O523" s="451"/>
      <c r="P523" s="451"/>
      <c r="Q523" s="451"/>
      <c r="R523" s="451"/>
      <c r="S523" s="445">
        <f t="shared" si="102"/>
        <v>0</v>
      </c>
      <c r="T523" s="451"/>
      <c r="U523" s="451"/>
      <c r="V523" s="451"/>
    </row>
    <row r="524" spans="1:22" s="441" customFormat="1" ht="60">
      <c r="A524" s="580"/>
      <c r="B524" s="572"/>
      <c r="C524" s="589">
        <v>4360</v>
      </c>
      <c r="D524" s="450" t="s">
        <v>245</v>
      </c>
      <c r="E524" s="502">
        <f t="shared" si="98"/>
        <v>1100</v>
      </c>
      <c r="F524" s="445">
        <f t="shared" si="99"/>
        <v>1100</v>
      </c>
      <c r="G524" s="445">
        <f t="shared" si="100"/>
        <v>1100</v>
      </c>
      <c r="H524" s="451">
        <v>1100</v>
      </c>
      <c r="I524" s="445">
        <f t="shared" si="101"/>
        <v>0</v>
      </c>
      <c r="J524" s="451"/>
      <c r="K524" s="451"/>
      <c r="L524" s="451"/>
      <c r="M524" s="451"/>
      <c r="N524" s="451"/>
      <c r="O524" s="451"/>
      <c r="P524" s="451"/>
      <c r="Q524" s="451"/>
      <c r="R524" s="451"/>
      <c r="S524" s="445">
        <f t="shared" si="102"/>
        <v>0</v>
      </c>
      <c r="T524" s="451"/>
      <c r="U524" s="451"/>
      <c r="V524" s="451"/>
    </row>
    <row r="525" spans="1:22" s="441" customFormat="1" ht="60">
      <c r="A525" s="580"/>
      <c r="B525" s="572"/>
      <c r="C525" s="589">
        <v>4370</v>
      </c>
      <c r="D525" s="450" t="s">
        <v>238</v>
      </c>
      <c r="E525" s="502">
        <f t="shared" si="98"/>
        <v>6700</v>
      </c>
      <c r="F525" s="445">
        <f t="shared" si="99"/>
        <v>6700</v>
      </c>
      <c r="G525" s="445">
        <f t="shared" si="100"/>
        <v>6700</v>
      </c>
      <c r="H525" s="451">
        <v>6700</v>
      </c>
      <c r="I525" s="445">
        <f t="shared" si="101"/>
        <v>0</v>
      </c>
      <c r="J525" s="451"/>
      <c r="K525" s="451"/>
      <c r="L525" s="451"/>
      <c r="M525" s="451"/>
      <c r="N525" s="451"/>
      <c r="O525" s="451"/>
      <c r="P525" s="451"/>
      <c r="Q525" s="451"/>
      <c r="R525" s="451"/>
      <c r="S525" s="445">
        <f t="shared" si="102"/>
        <v>0</v>
      </c>
      <c r="T525" s="451"/>
      <c r="U525" s="451"/>
      <c r="V525" s="451"/>
    </row>
    <row r="526" spans="1:22" s="441" customFormat="1" ht="75">
      <c r="A526" s="580"/>
      <c r="B526" s="572"/>
      <c r="C526" s="589">
        <v>4400</v>
      </c>
      <c r="D526" s="450" t="s">
        <v>592</v>
      </c>
      <c r="E526" s="502">
        <f t="shared" si="98"/>
        <v>100660</v>
      </c>
      <c r="F526" s="445">
        <f t="shared" si="99"/>
        <v>100660</v>
      </c>
      <c r="G526" s="445">
        <f t="shared" si="100"/>
        <v>100660</v>
      </c>
      <c r="H526" s="451">
        <v>100660</v>
      </c>
      <c r="I526" s="445">
        <f t="shared" si="101"/>
        <v>0</v>
      </c>
      <c r="J526" s="451"/>
      <c r="K526" s="451"/>
      <c r="L526" s="451"/>
      <c r="M526" s="451"/>
      <c r="N526" s="451"/>
      <c r="O526" s="451"/>
      <c r="P526" s="451"/>
      <c r="Q526" s="451"/>
      <c r="R526" s="451"/>
      <c r="S526" s="445">
        <f t="shared" si="102"/>
        <v>0</v>
      </c>
      <c r="T526" s="451"/>
      <c r="U526" s="451"/>
      <c r="V526" s="451"/>
    </row>
    <row r="527" spans="1:22" s="441" customFormat="1" ht="30">
      <c r="A527" s="580"/>
      <c r="B527" s="572"/>
      <c r="C527" s="589">
        <v>4410</v>
      </c>
      <c r="D527" s="450" t="s">
        <v>115</v>
      </c>
      <c r="E527" s="502">
        <f t="shared" si="98"/>
        <v>4100</v>
      </c>
      <c r="F527" s="445">
        <f t="shared" si="99"/>
        <v>4100</v>
      </c>
      <c r="G527" s="445">
        <f t="shared" si="100"/>
        <v>4100</v>
      </c>
      <c r="H527" s="451">
        <v>4100</v>
      </c>
      <c r="I527" s="445">
        <f t="shared" si="101"/>
        <v>0</v>
      </c>
      <c r="J527" s="451"/>
      <c r="K527" s="451"/>
      <c r="L527" s="451"/>
      <c r="M527" s="451"/>
      <c r="N527" s="451"/>
      <c r="O527" s="451"/>
      <c r="P527" s="451"/>
      <c r="Q527" s="451"/>
      <c r="R527" s="451"/>
      <c r="S527" s="445">
        <f t="shared" si="102"/>
        <v>0</v>
      </c>
      <c r="T527" s="451"/>
      <c r="U527" s="451"/>
      <c r="V527" s="451"/>
    </row>
    <row r="528" spans="1:22" s="441" customFormat="1" ht="27" customHeight="1">
      <c r="A528" s="580"/>
      <c r="B528" s="572"/>
      <c r="C528" s="589">
        <v>4430</v>
      </c>
      <c r="D528" s="450" t="s">
        <v>116</v>
      </c>
      <c r="E528" s="502">
        <f t="shared" si="98"/>
        <v>514</v>
      </c>
      <c r="F528" s="445">
        <f t="shared" si="99"/>
        <v>514</v>
      </c>
      <c r="G528" s="445">
        <f t="shared" si="100"/>
        <v>514</v>
      </c>
      <c r="H528" s="451">
        <v>514</v>
      </c>
      <c r="I528" s="445">
        <f t="shared" si="101"/>
        <v>0</v>
      </c>
      <c r="J528" s="451"/>
      <c r="K528" s="451"/>
      <c r="L528" s="451"/>
      <c r="M528" s="451"/>
      <c r="N528" s="451"/>
      <c r="O528" s="451"/>
      <c r="P528" s="451"/>
      <c r="Q528" s="451"/>
      <c r="R528" s="451"/>
      <c r="S528" s="445">
        <f t="shared" si="102"/>
        <v>0</v>
      </c>
      <c r="T528" s="451"/>
      <c r="U528" s="451"/>
      <c r="V528" s="451"/>
    </row>
    <row r="529" spans="1:22" s="441" customFormat="1" ht="45">
      <c r="A529" s="580"/>
      <c r="B529" s="572"/>
      <c r="C529" s="589">
        <v>4440</v>
      </c>
      <c r="D529" s="450" t="s">
        <v>117</v>
      </c>
      <c r="E529" s="502">
        <f t="shared" si="98"/>
        <v>12836</v>
      </c>
      <c r="F529" s="445">
        <f t="shared" si="99"/>
        <v>12836</v>
      </c>
      <c r="G529" s="445">
        <f t="shared" si="100"/>
        <v>12836</v>
      </c>
      <c r="H529" s="451">
        <v>12836</v>
      </c>
      <c r="I529" s="445">
        <f t="shared" si="101"/>
        <v>0</v>
      </c>
      <c r="J529" s="451"/>
      <c r="K529" s="451"/>
      <c r="L529" s="451"/>
      <c r="M529" s="451"/>
      <c r="N529" s="451"/>
      <c r="O529" s="451"/>
      <c r="P529" s="451"/>
      <c r="Q529" s="451"/>
      <c r="R529" s="451"/>
      <c r="S529" s="445">
        <f t="shared" si="102"/>
        <v>0</v>
      </c>
      <c r="T529" s="451"/>
      <c r="U529" s="451"/>
      <c r="V529" s="451"/>
    </row>
    <row r="530" spans="1:22" s="441" customFormat="1" ht="30">
      <c r="A530" s="580"/>
      <c r="B530" s="572"/>
      <c r="C530" s="589">
        <v>4510</v>
      </c>
      <c r="D530" s="450" t="s">
        <v>420</v>
      </c>
      <c r="E530" s="502">
        <f t="shared" si="98"/>
        <v>100</v>
      </c>
      <c r="F530" s="445">
        <f t="shared" si="99"/>
        <v>100</v>
      </c>
      <c r="G530" s="445">
        <f t="shared" si="100"/>
        <v>100</v>
      </c>
      <c r="H530" s="451">
        <v>100</v>
      </c>
      <c r="I530" s="445">
        <f t="shared" si="101"/>
        <v>0</v>
      </c>
      <c r="J530" s="451"/>
      <c r="K530" s="451"/>
      <c r="L530" s="451"/>
      <c r="M530" s="451"/>
      <c r="N530" s="451"/>
      <c r="O530" s="451"/>
      <c r="P530" s="451"/>
      <c r="Q530" s="451"/>
      <c r="R530" s="451"/>
      <c r="S530" s="445">
        <f t="shared" si="102"/>
        <v>0</v>
      </c>
      <c r="T530" s="451"/>
      <c r="U530" s="451"/>
      <c r="V530" s="451"/>
    </row>
    <row r="531" spans="1:22" s="441" customFormat="1" ht="45">
      <c r="A531" s="580"/>
      <c r="B531" s="572"/>
      <c r="C531" s="589">
        <v>4700</v>
      </c>
      <c r="D531" s="450" t="s">
        <v>385</v>
      </c>
      <c r="E531" s="502">
        <f t="shared" si="98"/>
        <v>1600</v>
      </c>
      <c r="F531" s="445">
        <f t="shared" si="99"/>
        <v>1600</v>
      </c>
      <c r="G531" s="445">
        <f t="shared" si="100"/>
        <v>1600</v>
      </c>
      <c r="H531" s="451">
        <v>1600</v>
      </c>
      <c r="I531" s="445">
        <f t="shared" si="101"/>
        <v>0</v>
      </c>
      <c r="J531" s="451"/>
      <c r="K531" s="451"/>
      <c r="L531" s="451"/>
      <c r="M531" s="451"/>
      <c r="N531" s="451"/>
      <c r="O531" s="451"/>
      <c r="P531" s="451"/>
      <c r="Q531" s="451"/>
      <c r="R531" s="451"/>
      <c r="S531" s="445">
        <f t="shared" si="102"/>
        <v>0</v>
      </c>
      <c r="T531" s="451"/>
      <c r="U531" s="451"/>
      <c r="V531" s="451"/>
    </row>
    <row r="532" spans="1:22" s="441" customFormat="1" ht="60">
      <c r="A532" s="580"/>
      <c r="B532" s="572"/>
      <c r="C532" s="589">
        <v>4740</v>
      </c>
      <c r="D532" s="450" t="s">
        <v>199</v>
      </c>
      <c r="E532" s="502">
        <f t="shared" si="98"/>
        <v>614</v>
      </c>
      <c r="F532" s="445">
        <f t="shared" si="99"/>
        <v>614</v>
      </c>
      <c r="G532" s="445">
        <f t="shared" si="100"/>
        <v>614</v>
      </c>
      <c r="H532" s="451">
        <v>614</v>
      </c>
      <c r="I532" s="445">
        <f t="shared" si="101"/>
        <v>0</v>
      </c>
      <c r="J532" s="451"/>
      <c r="K532" s="451"/>
      <c r="L532" s="451"/>
      <c r="M532" s="451"/>
      <c r="N532" s="451"/>
      <c r="O532" s="451"/>
      <c r="P532" s="451"/>
      <c r="Q532" s="451"/>
      <c r="R532" s="451"/>
      <c r="S532" s="445">
        <f t="shared" si="102"/>
        <v>0</v>
      </c>
      <c r="T532" s="451"/>
      <c r="U532" s="451"/>
      <c r="V532" s="451"/>
    </row>
    <row r="533" spans="1:22" s="441" customFormat="1" ht="45">
      <c r="A533" s="580"/>
      <c r="B533" s="572"/>
      <c r="C533" s="589">
        <v>4750</v>
      </c>
      <c r="D533" s="450" t="s">
        <v>239</v>
      </c>
      <c r="E533" s="502">
        <f t="shared" si="98"/>
        <v>7300</v>
      </c>
      <c r="F533" s="445">
        <f t="shared" si="99"/>
        <v>7300</v>
      </c>
      <c r="G533" s="445">
        <f t="shared" si="100"/>
        <v>7300</v>
      </c>
      <c r="H533" s="451">
        <v>7300</v>
      </c>
      <c r="I533" s="445">
        <f t="shared" si="101"/>
        <v>0</v>
      </c>
      <c r="J533" s="451"/>
      <c r="K533" s="451"/>
      <c r="L533" s="451"/>
      <c r="M533" s="451"/>
      <c r="N533" s="451"/>
      <c r="O533" s="451"/>
      <c r="P533" s="451"/>
      <c r="Q533" s="451"/>
      <c r="R533" s="451"/>
      <c r="S533" s="445">
        <f t="shared" si="102"/>
        <v>0</v>
      </c>
      <c r="T533" s="451"/>
      <c r="U533" s="451"/>
      <c r="V533" s="451"/>
    </row>
    <row r="534" spans="1:22" s="441" customFormat="1" ht="30">
      <c r="A534" s="570"/>
      <c r="B534" s="570"/>
      <c r="C534" s="589">
        <v>6050</v>
      </c>
      <c r="D534" s="453" t="s">
        <v>605</v>
      </c>
      <c r="E534" s="502">
        <f t="shared" si="98"/>
        <v>24000</v>
      </c>
      <c r="F534" s="445">
        <f t="shared" si="99"/>
        <v>0</v>
      </c>
      <c r="G534" s="445">
        <f t="shared" si="100"/>
        <v>0</v>
      </c>
      <c r="H534" s="451"/>
      <c r="I534" s="445">
        <f t="shared" si="101"/>
        <v>0</v>
      </c>
      <c r="J534" s="451"/>
      <c r="K534" s="451"/>
      <c r="L534" s="451"/>
      <c r="M534" s="451"/>
      <c r="N534" s="451"/>
      <c r="O534" s="451"/>
      <c r="P534" s="451"/>
      <c r="Q534" s="451"/>
      <c r="R534" s="451"/>
      <c r="S534" s="445">
        <f t="shared" si="102"/>
        <v>24000</v>
      </c>
      <c r="T534" s="451">
        <v>24000</v>
      </c>
      <c r="U534" s="451"/>
      <c r="V534" s="451"/>
    </row>
    <row r="535" spans="1:22" s="449" customFormat="1" ht="94.5">
      <c r="A535" s="579"/>
      <c r="B535" s="571">
        <v>85220</v>
      </c>
      <c r="C535" s="588"/>
      <c r="D535" s="262" t="s">
        <v>275</v>
      </c>
      <c r="E535" s="502">
        <f t="shared" si="98"/>
        <v>3160</v>
      </c>
      <c r="F535" s="445">
        <f t="shared" si="99"/>
        <v>3160</v>
      </c>
      <c r="G535" s="445">
        <f t="shared" si="100"/>
        <v>3160</v>
      </c>
      <c r="H535" s="448">
        <f>SUM(H536:H546)</f>
        <v>1000</v>
      </c>
      <c r="I535" s="445">
        <f t="shared" si="101"/>
        <v>2160</v>
      </c>
      <c r="J535" s="448">
        <f aca="true" t="shared" si="105" ref="J535:R535">SUM(J536:J545)</f>
        <v>0</v>
      </c>
      <c r="K535" s="448">
        <f t="shared" si="105"/>
        <v>0</v>
      </c>
      <c r="L535" s="448">
        <f t="shared" si="105"/>
        <v>0</v>
      </c>
      <c r="M535" s="448">
        <f t="shared" si="105"/>
        <v>2160</v>
      </c>
      <c r="N535" s="448">
        <f t="shared" si="105"/>
        <v>0</v>
      </c>
      <c r="O535" s="448">
        <f t="shared" si="105"/>
        <v>0</v>
      </c>
      <c r="P535" s="448">
        <f>SUM(P536:P545)</f>
        <v>0</v>
      </c>
      <c r="Q535" s="448">
        <f t="shared" si="105"/>
        <v>0</v>
      </c>
      <c r="R535" s="448">
        <f t="shared" si="105"/>
        <v>0</v>
      </c>
      <c r="S535" s="445">
        <f t="shared" si="102"/>
        <v>0</v>
      </c>
      <c r="T535" s="448">
        <f>SUM(T536:T545)</f>
        <v>0</v>
      </c>
      <c r="U535" s="448">
        <f>SUM(U536:U545)</f>
        <v>0</v>
      </c>
      <c r="V535" s="448">
        <f>SUM(V536:V545)</f>
        <v>0</v>
      </c>
    </row>
    <row r="536" spans="1:22" s="441" customFormat="1" ht="30" customHeight="1" hidden="1">
      <c r="A536" s="580"/>
      <c r="B536" s="572"/>
      <c r="C536" s="589">
        <v>4010</v>
      </c>
      <c r="D536" s="450" t="s">
        <v>102</v>
      </c>
      <c r="E536" s="502">
        <f t="shared" si="98"/>
        <v>0</v>
      </c>
      <c r="F536" s="445">
        <f t="shared" si="99"/>
        <v>0</v>
      </c>
      <c r="G536" s="445">
        <f t="shared" si="100"/>
        <v>0</v>
      </c>
      <c r="H536" s="451"/>
      <c r="I536" s="445">
        <f t="shared" si="101"/>
        <v>0</v>
      </c>
      <c r="J536" s="451"/>
      <c r="K536" s="451"/>
      <c r="L536" s="451"/>
      <c r="M536" s="451"/>
      <c r="N536" s="451"/>
      <c r="O536" s="451"/>
      <c r="P536" s="451"/>
      <c r="Q536" s="451"/>
      <c r="R536" s="451"/>
      <c r="S536" s="445">
        <f t="shared" si="102"/>
        <v>0</v>
      </c>
      <c r="T536" s="451"/>
      <c r="U536" s="451"/>
      <c r="V536" s="451"/>
    </row>
    <row r="537" spans="1:22" s="441" customFormat="1" ht="30" customHeight="1" hidden="1">
      <c r="A537" s="580"/>
      <c r="B537" s="572"/>
      <c r="C537" s="589">
        <v>4040</v>
      </c>
      <c r="D537" s="450" t="s">
        <v>103</v>
      </c>
      <c r="E537" s="502">
        <f t="shared" si="98"/>
        <v>0</v>
      </c>
      <c r="F537" s="445">
        <f t="shared" si="99"/>
        <v>0</v>
      </c>
      <c r="G537" s="445">
        <f t="shared" si="100"/>
        <v>0</v>
      </c>
      <c r="H537" s="451"/>
      <c r="I537" s="445">
        <f t="shared" si="101"/>
        <v>0</v>
      </c>
      <c r="J537" s="451"/>
      <c r="K537" s="451"/>
      <c r="L537" s="451"/>
      <c r="M537" s="451"/>
      <c r="N537" s="451"/>
      <c r="O537" s="451"/>
      <c r="P537" s="451"/>
      <c r="Q537" s="451"/>
      <c r="R537" s="451"/>
      <c r="S537" s="445">
        <f t="shared" si="102"/>
        <v>0</v>
      </c>
      <c r="T537" s="451"/>
      <c r="U537" s="451"/>
      <c r="V537" s="451"/>
    </row>
    <row r="538" spans="1:22" s="441" customFormat="1" ht="45" customHeight="1" hidden="1">
      <c r="A538" s="580"/>
      <c r="B538" s="572"/>
      <c r="C538" s="589">
        <v>4110</v>
      </c>
      <c r="D538" s="450" t="s">
        <v>104</v>
      </c>
      <c r="E538" s="502">
        <f t="shared" si="98"/>
        <v>0</v>
      </c>
      <c r="F538" s="445">
        <f t="shared" si="99"/>
        <v>0</v>
      </c>
      <c r="G538" s="445">
        <f t="shared" si="100"/>
        <v>0</v>
      </c>
      <c r="H538" s="451"/>
      <c r="I538" s="445">
        <f t="shared" si="101"/>
        <v>0</v>
      </c>
      <c r="J538" s="451"/>
      <c r="K538" s="451"/>
      <c r="L538" s="451"/>
      <c r="M538" s="451"/>
      <c r="N538" s="451"/>
      <c r="O538" s="451"/>
      <c r="P538" s="451"/>
      <c r="Q538" s="451"/>
      <c r="R538" s="451"/>
      <c r="S538" s="445">
        <f t="shared" si="102"/>
        <v>0</v>
      </c>
      <c r="T538" s="451"/>
      <c r="U538" s="451"/>
      <c r="V538" s="451"/>
    </row>
    <row r="539" spans="1:22" s="441" customFormat="1" ht="30" customHeight="1" hidden="1">
      <c r="A539" s="580"/>
      <c r="B539" s="572"/>
      <c r="C539" s="589">
        <v>4120</v>
      </c>
      <c r="D539" s="450" t="s">
        <v>105</v>
      </c>
      <c r="E539" s="502">
        <f t="shared" si="98"/>
        <v>0</v>
      </c>
      <c r="F539" s="445">
        <f t="shared" si="99"/>
        <v>0</v>
      </c>
      <c r="G539" s="445">
        <f t="shared" si="100"/>
        <v>0</v>
      </c>
      <c r="H539" s="451"/>
      <c r="I539" s="445">
        <f t="shared" si="101"/>
        <v>0</v>
      </c>
      <c r="J539" s="451"/>
      <c r="K539" s="451"/>
      <c r="L539" s="451"/>
      <c r="M539" s="451"/>
      <c r="N539" s="451"/>
      <c r="O539" s="451"/>
      <c r="P539" s="451"/>
      <c r="Q539" s="451"/>
      <c r="R539" s="451"/>
      <c r="S539" s="445">
        <f t="shared" si="102"/>
        <v>0</v>
      </c>
      <c r="T539" s="451"/>
      <c r="U539" s="451"/>
      <c r="V539" s="451"/>
    </row>
    <row r="540" spans="1:22" s="441" customFormat="1" ht="30">
      <c r="A540" s="580"/>
      <c r="B540" s="572"/>
      <c r="C540" s="589">
        <v>4170</v>
      </c>
      <c r="D540" s="450" t="s">
        <v>219</v>
      </c>
      <c r="E540" s="502">
        <f t="shared" si="98"/>
        <v>2160</v>
      </c>
      <c r="F540" s="445">
        <f t="shared" si="99"/>
        <v>2160</v>
      </c>
      <c r="G540" s="445">
        <f t="shared" si="100"/>
        <v>2160</v>
      </c>
      <c r="H540" s="451"/>
      <c r="I540" s="445">
        <f t="shared" si="101"/>
        <v>2160</v>
      </c>
      <c r="J540" s="451"/>
      <c r="K540" s="451"/>
      <c r="L540" s="451"/>
      <c r="M540" s="451">
        <v>2160</v>
      </c>
      <c r="N540" s="451"/>
      <c r="O540" s="451"/>
      <c r="P540" s="451"/>
      <c r="Q540" s="451"/>
      <c r="R540" s="451"/>
      <c r="S540" s="445">
        <f t="shared" si="102"/>
        <v>0</v>
      </c>
      <c r="T540" s="451"/>
      <c r="U540" s="451"/>
      <c r="V540" s="451"/>
    </row>
    <row r="541" spans="1:22" s="441" customFormat="1" ht="30">
      <c r="A541" s="580"/>
      <c r="B541" s="572"/>
      <c r="C541" s="589">
        <v>4210</v>
      </c>
      <c r="D541" s="450" t="s">
        <v>107</v>
      </c>
      <c r="E541" s="502">
        <f t="shared" si="98"/>
        <v>268</v>
      </c>
      <c r="F541" s="445">
        <f t="shared" si="99"/>
        <v>268</v>
      </c>
      <c r="G541" s="445">
        <f t="shared" si="100"/>
        <v>268</v>
      </c>
      <c r="H541" s="451">
        <v>268</v>
      </c>
      <c r="I541" s="445">
        <f t="shared" si="101"/>
        <v>0</v>
      </c>
      <c r="J541" s="451"/>
      <c r="K541" s="451"/>
      <c r="L541" s="451"/>
      <c r="M541" s="451"/>
      <c r="N541" s="451"/>
      <c r="O541" s="451"/>
      <c r="P541" s="451"/>
      <c r="Q541" s="451"/>
      <c r="R541" s="451"/>
      <c r="S541" s="445">
        <f t="shared" si="102"/>
        <v>0</v>
      </c>
      <c r="T541" s="451"/>
      <c r="U541" s="451"/>
      <c r="V541" s="451"/>
    </row>
    <row r="542" spans="1:22" s="441" customFormat="1" ht="25.5" customHeight="1">
      <c r="A542" s="580"/>
      <c r="B542" s="572"/>
      <c r="C542" s="589">
        <v>4300</v>
      </c>
      <c r="D542" s="450" t="s">
        <v>198</v>
      </c>
      <c r="E542" s="502">
        <f t="shared" si="98"/>
        <v>0</v>
      </c>
      <c r="F542" s="445">
        <f t="shared" si="99"/>
        <v>0</v>
      </c>
      <c r="G542" s="445">
        <f t="shared" si="100"/>
        <v>0</v>
      </c>
      <c r="H542" s="451"/>
      <c r="I542" s="445">
        <f t="shared" si="101"/>
        <v>0</v>
      </c>
      <c r="J542" s="451"/>
      <c r="K542" s="451"/>
      <c r="L542" s="451"/>
      <c r="M542" s="451"/>
      <c r="N542" s="451"/>
      <c r="O542" s="451"/>
      <c r="P542" s="451"/>
      <c r="Q542" s="451"/>
      <c r="R542" s="451"/>
      <c r="S542" s="445">
        <f t="shared" si="102"/>
        <v>0</v>
      </c>
      <c r="T542" s="451"/>
      <c r="U542" s="451"/>
      <c r="V542" s="451"/>
    </row>
    <row r="543" spans="1:22" s="441" customFormat="1" ht="60">
      <c r="A543" s="580"/>
      <c r="B543" s="572"/>
      <c r="C543" s="589">
        <v>4360</v>
      </c>
      <c r="D543" s="450" t="s">
        <v>245</v>
      </c>
      <c r="E543" s="502">
        <f t="shared" si="98"/>
        <v>732</v>
      </c>
      <c r="F543" s="445">
        <f t="shared" si="99"/>
        <v>732</v>
      </c>
      <c r="G543" s="445">
        <f t="shared" si="100"/>
        <v>732</v>
      </c>
      <c r="H543" s="451">
        <v>732</v>
      </c>
      <c r="I543" s="445">
        <f t="shared" si="101"/>
        <v>0</v>
      </c>
      <c r="J543" s="451"/>
      <c r="K543" s="451"/>
      <c r="L543" s="451"/>
      <c r="M543" s="451"/>
      <c r="N543" s="451"/>
      <c r="O543" s="451"/>
      <c r="P543" s="451"/>
      <c r="Q543" s="451"/>
      <c r="R543" s="451"/>
      <c r="S543" s="445">
        <f t="shared" si="102"/>
        <v>0</v>
      </c>
      <c r="T543" s="451"/>
      <c r="U543" s="451"/>
      <c r="V543" s="451"/>
    </row>
    <row r="544" spans="1:22" s="441" customFormat="1" ht="30" customHeight="1" hidden="1">
      <c r="A544" s="580"/>
      <c r="B544" s="572"/>
      <c r="C544" s="589">
        <v>4410</v>
      </c>
      <c r="D544" s="450" t="s">
        <v>115</v>
      </c>
      <c r="E544" s="502">
        <f t="shared" si="98"/>
        <v>0</v>
      </c>
      <c r="F544" s="445">
        <f t="shared" si="99"/>
        <v>0</v>
      </c>
      <c r="G544" s="445">
        <f t="shared" si="100"/>
        <v>0</v>
      </c>
      <c r="H544" s="451"/>
      <c r="I544" s="445">
        <f t="shared" si="101"/>
        <v>0</v>
      </c>
      <c r="J544" s="451"/>
      <c r="K544" s="451"/>
      <c r="L544" s="451"/>
      <c r="M544" s="451"/>
      <c r="N544" s="451"/>
      <c r="O544" s="451"/>
      <c r="P544" s="451"/>
      <c r="Q544" s="451"/>
      <c r="R544" s="451"/>
      <c r="S544" s="445">
        <f t="shared" si="102"/>
        <v>0</v>
      </c>
      <c r="T544" s="451"/>
      <c r="U544" s="451"/>
      <c r="V544" s="451"/>
    </row>
    <row r="545" spans="1:22" s="441" customFormat="1" ht="40.5" customHeight="1" hidden="1">
      <c r="A545" s="580"/>
      <c r="B545" s="572"/>
      <c r="C545" s="589">
        <v>4440</v>
      </c>
      <c r="D545" s="450" t="s">
        <v>117</v>
      </c>
      <c r="E545" s="502">
        <f t="shared" si="98"/>
        <v>0</v>
      </c>
      <c r="F545" s="445">
        <f t="shared" si="99"/>
        <v>0</v>
      </c>
      <c r="G545" s="445">
        <f t="shared" si="100"/>
        <v>0</v>
      </c>
      <c r="H545" s="451"/>
      <c r="I545" s="445">
        <f t="shared" si="101"/>
        <v>0</v>
      </c>
      <c r="J545" s="451"/>
      <c r="K545" s="451"/>
      <c r="L545" s="451"/>
      <c r="M545" s="451"/>
      <c r="N545" s="451"/>
      <c r="O545" s="451"/>
      <c r="P545" s="451"/>
      <c r="Q545" s="451"/>
      <c r="R545" s="451"/>
      <c r="S545" s="445">
        <f t="shared" si="102"/>
        <v>0</v>
      </c>
      <c r="T545" s="451"/>
      <c r="U545" s="451"/>
      <c r="V545" s="451"/>
    </row>
    <row r="546" spans="1:22" s="441" customFormat="1" ht="45" customHeight="1" hidden="1">
      <c r="A546" s="580"/>
      <c r="B546" s="572"/>
      <c r="C546" s="589">
        <v>4700</v>
      </c>
      <c r="D546" s="450" t="s">
        <v>385</v>
      </c>
      <c r="E546" s="502">
        <f t="shared" si="98"/>
        <v>0</v>
      </c>
      <c r="F546" s="445">
        <f t="shared" si="99"/>
        <v>0</v>
      </c>
      <c r="G546" s="445">
        <f t="shared" si="100"/>
        <v>0</v>
      </c>
      <c r="H546" s="451"/>
      <c r="I546" s="445">
        <f t="shared" si="101"/>
        <v>0</v>
      </c>
      <c r="J546" s="451"/>
      <c r="K546" s="451"/>
      <c r="L546" s="451"/>
      <c r="M546" s="451"/>
      <c r="N546" s="451"/>
      <c r="O546" s="451"/>
      <c r="P546" s="451"/>
      <c r="Q546" s="451"/>
      <c r="R546" s="451"/>
      <c r="S546" s="445">
        <f t="shared" si="102"/>
        <v>0</v>
      </c>
      <c r="T546" s="451"/>
      <c r="U546" s="451"/>
      <c r="V546" s="451"/>
    </row>
    <row r="547" spans="1:22" s="449" customFormat="1" ht="47.25">
      <c r="A547" s="579"/>
      <c r="B547" s="571">
        <v>85233</v>
      </c>
      <c r="C547" s="588"/>
      <c r="D547" s="262" t="s">
        <v>276</v>
      </c>
      <c r="E547" s="502">
        <f t="shared" si="98"/>
        <v>4520</v>
      </c>
      <c r="F547" s="445">
        <f t="shared" si="99"/>
        <v>4520</v>
      </c>
      <c r="G547" s="445">
        <f t="shared" si="100"/>
        <v>4520</v>
      </c>
      <c r="H547" s="448">
        <f>SUM(H548:H549)</f>
        <v>4520</v>
      </c>
      <c r="I547" s="445">
        <f t="shared" si="101"/>
        <v>0</v>
      </c>
      <c r="J547" s="448">
        <f aca="true" t="shared" si="106" ref="J547:R547">SUM(J548:J549)</f>
        <v>0</v>
      </c>
      <c r="K547" s="448">
        <f t="shared" si="106"/>
        <v>0</v>
      </c>
      <c r="L547" s="448">
        <f t="shared" si="106"/>
        <v>0</v>
      </c>
      <c r="M547" s="448">
        <f t="shared" si="106"/>
        <v>0</v>
      </c>
      <c r="N547" s="448">
        <f t="shared" si="106"/>
        <v>0</v>
      </c>
      <c r="O547" s="448">
        <f t="shared" si="106"/>
        <v>0</v>
      </c>
      <c r="P547" s="448">
        <f>SUM(P548:P549)</f>
        <v>0</v>
      </c>
      <c r="Q547" s="448">
        <f t="shared" si="106"/>
        <v>0</v>
      </c>
      <c r="R547" s="448">
        <f t="shared" si="106"/>
        <v>0</v>
      </c>
      <c r="S547" s="445">
        <f t="shared" si="102"/>
        <v>0</v>
      </c>
      <c r="T547" s="448">
        <f>SUM(T548:T549)</f>
        <v>0</v>
      </c>
      <c r="U547" s="448">
        <f>SUM(U548:U549)</f>
        <v>0</v>
      </c>
      <c r="V547" s="448">
        <f>SUM(V548:V549)</f>
        <v>0</v>
      </c>
    </row>
    <row r="548" spans="1:22" s="441" customFormat="1" ht="15.75">
      <c r="A548" s="580"/>
      <c r="B548" s="572"/>
      <c r="C548" s="589">
        <v>4300</v>
      </c>
      <c r="D548" s="450" t="s">
        <v>198</v>
      </c>
      <c r="E548" s="502">
        <f t="shared" si="98"/>
        <v>3970</v>
      </c>
      <c r="F548" s="445">
        <f t="shared" si="99"/>
        <v>3970</v>
      </c>
      <c r="G548" s="445">
        <f t="shared" si="100"/>
        <v>3970</v>
      </c>
      <c r="H548" s="451">
        <v>3970</v>
      </c>
      <c r="I548" s="445">
        <f t="shared" si="101"/>
        <v>0</v>
      </c>
      <c r="J548" s="451"/>
      <c r="K548" s="451"/>
      <c r="L548" s="451"/>
      <c r="M548" s="451"/>
      <c r="N548" s="451"/>
      <c r="O548" s="451"/>
      <c r="P548" s="451"/>
      <c r="Q548" s="451"/>
      <c r="R548" s="451"/>
      <c r="S548" s="445">
        <f t="shared" si="102"/>
        <v>0</v>
      </c>
      <c r="T548" s="451"/>
      <c r="U548" s="451"/>
      <c r="V548" s="451"/>
    </row>
    <row r="549" spans="1:22" s="441" customFormat="1" ht="30">
      <c r="A549" s="580"/>
      <c r="B549" s="572"/>
      <c r="C549" s="589">
        <v>4410</v>
      </c>
      <c r="D549" s="450" t="s">
        <v>115</v>
      </c>
      <c r="E549" s="502">
        <f t="shared" si="98"/>
        <v>550</v>
      </c>
      <c r="F549" s="445">
        <f t="shared" si="99"/>
        <v>550</v>
      </c>
      <c r="G549" s="445">
        <f t="shared" si="100"/>
        <v>550</v>
      </c>
      <c r="H549" s="451">
        <v>550</v>
      </c>
      <c r="I549" s="445">
        <f t="shared" si="101"/>
        <v>0</v>
      </c>
      <c r="J549" s="451"/>
      <c r="K549" s="451"/>
      <c r="L549" s="451"/>
      <c r="M549" s="451"/>
      <c r="N549" s="451"/>
      <c r="O549" s="451"/>
      <c r="P549" s="451"/>
      <c r="Q549" s="451"/>
      <c r="R549" s="451"/>
      <c r="S549" s="445">
        <f t="shared" si="102"/>
        <v>0</v>
      </c>
      <c r="T549" s="451"/>
      <c r="U549" s="451"/>
      <c r="V549" s="451"/>
    </row>
    <row r="550" spans="1:22" s="449" customFormat="1" ht="15.75">
      <c r="A550" s="579"/>
      <c r="B550" s="571">
        <v>85295</v>
      </c>
      <c r="C550" s="588"/>
      <c r="D550" s="262" t="s">
        <v>277</v>
      </c>
      <c r="E550" s="502">
        <f t="shared" si="98"/>
        <v>1000</v>
      </c>
      <c r="F550" s="445">
        <f t="shared" si="99"/>
        <v>1000</v>
      </c>
      <c r="G550" s="445">
        <f t="shared" si="100"/>
        <v>1000</v>
      </c>
      <c r="H550" s="448">
        <f>SUM(H551:H554)</f>
        <v>1000</v>
      </c>
      <c r="I550" s="445">
        <f t="shared" si="101"/>
        <v>0</v>
      </c>
      <c r="J550" s="448">
        <f aca="true" t="shared" si="107" ref="J550:R550">SUM(J551:J554)</f>
        <v>0</v>
      </c>
      <c r="K550" s="448">
        <f t="shared" si="107"/>
        <v>0</v>
      </c>
      <c r="L550" s="448">
        <f t="shared" si="107"/>
        <v>0</v>
      </c>
      <c r="M550" s="448">
        <f t="shared" si="107"/>
        <v>0</v>
      </c>
      <c r="N550" s="448">
        <f t="shared" si="107"/>
        <v>0</v>
      </c>
      <c r="O550" s="448">
        <f t="shared" si="107"/>
        <v>0</v>
      </c>
      <c r="P550" s="448">
        <f>SUM(P551:P554)</f>
        <v>0</v>
      </c>
      <c r="Q550" s="448">
        <f t="shared" si="107"/>
        <v>0</v>
      </c>
      <c r="R550" s="448">
        <f t="shared" si="107"/>
        <v>0</v>
      </c>
      <c r="S550" s="445">
        <f t="shared" si="102"/>
        <v>0</v>
      </c>
      <c r="T550" s="448">
        <f>SUM(T551:T554)</f>
        <v>0</v>
      </c>
      <c r="U550" s="448">
        <f>SUM(U551:U554)</f>
        <v>0</v>
      </c>
      <c r="V550" s="448">
        <f>SUM(V551:V554)</f>
        <v>0</v>
      </c>
    </row>
    <row r="551" spans="1:22" s="441" customFormat="1" ht="45">
      <c r="A551" s="580"/>
      <c r="B551" s="572"/>
      <c r="C551" s="589">
        <v>4440</v>
      </c>
      <c r="D551" s="450" t="s">
        <v>117</v>
      </c>
      <c r="E551" s="502">
        <f t="shared" si="98"/>
        <v>1000</v>
      </c>
      <c r="F551" s="445">
        <f t="shared" si="99"/>
        <v>1000</v>
      </c>
      <c r="G551" s="445">
        <f t="shared" si="100"/>
        <v>1000</v>
      </c>
      <c r="H551" s="451">
        <v>1000</v>
      </c>
      <c r="I551" s="445">
        <f t="shared" si="101"/>
        <v>0</v>
      </c>
      <c r="J551" s="451"/>
      <c r="K551" s="451"/>
      <c r="L551" s="451"/>
      <c r="M551" s="451"/>
      <c r="N551" s="451"/>
      <c r="O551" s="451"/>
      <c r="P551" s="451"/>
      <c r="Q551" s="451"/>
      <c r="R551" s="451"/>
      <c r="S551" s="445">
        <f t="shared" si="102"/>
        <v>0</v>
      </c>
      <c r="T551" s="451"/>
      <c r="U551" s="451"/>
      <c r="V551" s="451"/>
    </row>
    <row r="552" spans="1:22" s="441" customFormat="1" ht="36.75" customHeight="1">
      <c r="A552" s="580"/>
      <c r="B552" s="572"/>
      <c r="C552" s="589">
        <v>4010</v>
      </c>
      <c r="D552" s="450" t="s">
        <v>369</v>
      </c>
      <c r="E552" s="502">
        <f t="shared" si="98"/>
        <v>0</v>
      </c>
      <c r="F552" s="445">
        <f t="shared" si="99"/>
        <v>0</v>
      </c>
      <c r="G552" s="445">
        <f t="shared" si="100"/>
        <v>0</v>
      </c>
      <c r="H552" s="451"/>
      <c r="I552" s="445">
        <f t="shared" si="101"/>
        <v>0</v>
      </c>
      <c r="J552" s="451">
        <v>0</v>
      </c>
      <c r="K552" s="451"/>
      <c r="L552" s="451"/>
      <c r="M552" s="451"/>
      <c r="N552" s="451"/>
      <c r="O552" s="451"/>
      <c r="P552" s="451"/>
      <c r="Q552" s="451"/>
      <c r="R552" s="451"/>
      <c r="S552" s="445">
        <f t="shared" si="102"/>
        <v>0</v>
      </c>
      <c r="T552" s="451"/>
      <c r="U552" s="451"/>
      <c r="V552" s="451"/>
    </row>
    <row r="553" spans="1:22" s="441" customFormat="1" ht="45">
      <c r="A553" s="580"/>
      <c r="B553" s="572"/>
      <c r="C553" s="589">
        <v>4110</v>
      </c>
      <c r="D553" s="450" t="s">
        <v>234</v>
      </c>
      <c r="E553" s="502">
        <f t="shared" si="98"/>
        <v>0</v>
      </c>
      <c r="F553" s="445">
        <f t="shared" si="99"/>
        <v>0</v>
      </c>
      <c r="G553" s="445">
        <f t="shared" si="100"/>
        <v>0</v>
      </c>
      <c r="H553" s="451"/>
      <c r="I553" s="445">
        <f t="shared" si="101"/>
        <v>0</v>
      </c>
      <c r="J553" s="451"/>
      <c r="K553" s="451"/>
      <c r="L553" s="451">
        <v>0</v>
      </c>
      <c r="M553" s="451"/>
      <c r="N553" s="451"/>
      <c r="O553" s="451"/>
      <c r="P553" s="451"/>
      <c r="Q553" s="451"/>
      <c r="R553" s="451"/>
      <c r="S553" s="445">
        <f t="shared" si="102"/>
        <v>0</v>
      </c>
      <c r="T553" s="451"/>
      <c r="U553" s="451"/>
      <c r="V553" s="451"/>
    </row>
    <row r="554" spans="1:22" s="441" customFormat="1" ht="30">
      <c r="A554" s="580"/>
      <c r="B554" s="572"/>
      <c r="C554" s="589">
        <v>4120</v>
      </c>
      <c r="D554" s="450" t="s">
        <v>105</v>
      </c>
      <c r="E554" s="502">
        <f t="shared" si="98"/>
        <v>0</v>
      </c>
      <c r="F554" s="445">
        <f t="shared" si="99"/>
        <v>0</v>
      </c>
      <c r="G554" s="445">
        <f t="shared" si="100"/>
        <v>0</v>
      </c>
      <c r="H554" s="451"/>
      <c r="I554" s="445">
        <f t="shared" si="101"/>
        <v>0</v>
      </c>
      <c r="J554" s="451"/>
      <c r="K554" s="451"/>
      <c r="L554" s="451">
        <v>0</v>
      </c>
      <c r="M554" s="451"/>
      <c r="N554" s="451"/>
      <c r="O554" s="451"/>
      <c r="P554" s="451"/>
      <c r="Q554" s="451"/>
      <c r="R554" s="451"/>
      <c r="S554" s="445">
        <f t="shared" si="102"/>
        <v>0</v>
      </c>
      <c r="T554" s="451"/>
      <c r="U554" s="451"/>
      <c r="V554" s="451"/>
    </row>
    <row r="555" spans="1:22" s="446" customFormat="1" ht="63">
      <c r="A555" s="570">
        <v>853</v>
      </c>
      <c r="B555" s="570"/>
      <c r="C555" s="587"/>
      <c r="D555" s="311" t="s">
        <v>278</v>
      </c>
      <c r="E555" s="502">
        <f t="shared" si="98"/>
        <v>6676151</v>
      </c>
      <c r="F555" s="445">
        <f t="shared" si="99"/>
        <v>6650318</v>
      </c>
      <c r="G555" s="445">
        <f t="shared" si="100"/>
        <v>2624222</v>
      </c>
      <c r="H555" s="445">
        <f>SUM(H558+H575+H556+H608+H610)</f>
        <v>378665</v>
      </c>
      <c r="I555" s="445">
        <f t="shared" si="101"/>
        <v>2245557</v>
      </c>
      <c r="J555" s="445">
        <f aca="true" t="shared" si="108" ref="J555:R555">SUM(J558+J575+J556+J608+J610)</f>
        <v>1721670</v>
      </c>
      <c r="K555" s="445">
        <f t="shared" si="108"/>
        <v>132900</v>
      </c>
      <c r="L555" s="445">
        <f t="shared" si="108"/>
        <v>352107</v>
      </c>
      <c r="M555" s="445">
        <f t="shared" si="108"/>
        <v>38880</v>
      </c>
      <c r="N555" s="445">
        <f t="shared" si="108"/>
        <v>2645</v>
      </c>
      <c r="O555" s="445">
        <f t="shared" si="108"/>
        <v>22194</v>
      </c>
      <c r="P555" s="445">
        <f>SUM(P558+P575+P556+P608+P610)</f>
        <v>0</v>
      </c>
      <c r="Q555" s="445">
        <f t="shared" si="108"/>
        <v>0</v>
      </c>
      <c r="R555" s="445">
        <f t="shared" si="108"/>
        <v>4001257</v>
      </c>
      <c r="S555" s="445">
        <f t="shared" si="102"/>
        <v>25833</v>
      </c>
      <c r="T555" s="445">
        <f>SUM(T558+T575+T556+T608+T610)</f>
        <v>25833</v>
      </c>
      <c r="U555" s="445">
        <f>SUM(U558+U575+U556+U608+U610)</f>
        <v>14833</v>
      </c>
      <c r="V555" s="445">
        <f>SUM(V558+V575+V556+V608+V610)</f>
        <v>0</v>
      </c>
    </row>
    <row r="556" spans="1:22" s="449" customFormat="1" ht="63">
      <c r="A556" s="579"/>
      <c r="B556" s="571">
        <v>85311</v>
      </c>
      <c r="C556" s="588"/>
      <c r="D556" s="262" t="s">
        <v>114</v>
      </c>
      <c r="E556" s="502">
        <f t="shared" si="98"/>
        <v>22194</v>
      </c>
      <c r="F556" s="445">
        <f t="shared" si="99"/>
        <v>22194</v>
      </c>
      <c r="G556" s="445">
        <f t="shared" si="100"/>
        <v>0</v>
      </c>
      <c r="H556" s="448">
        <f aca="true" t="shared" si="109" ref="H556:V556">SUM(H557:H557)</f>
        <v>0</v>
      </c>
      <c r="I556" s="445">
        <f t="shared" si="101"/>
        <v>0</v>
      </c>
      <c r="J556" s="448">
        <f>SUM(J557:J557)</f>
        <v>0</v>
      </c>
      <c r="K556" s="448">
        <f t="shared" si="109"/>
        <v>0</v>
      </c>
      <c r="L556" s="448">
        <f t="shared" si="109"/>
        <v>0</v>
      </c>
      <c r="M556" s="448">
        <f t="shared" si="109"/>
        <v>0</v>
      </c>
      <c r="N556" s="448">
        <f t="shared" si="109"/>
        <v>0</v>
      </c>
      <c r="O556" s="448">
        <f t="shared" si="109"/>
        <v>22194</v>
      </c>
      <c r="P556" s="448">
        <f t="shared" si="109"/>
        <v>0</v>
      </c>
      <c r="Q556" s="448">
        <f t="shared" si="109"/>
        <v>0</v>
      </c>
      <c r="R556" s="448">
        <f t="shared" si="109"/>
        <v>0</v>
      </c>
      <c r="S556" s="445">
        <f t="shared" si="102"/>
        <v>0</v>
      </c>
      <c r="T556" s="448">
        <f t="shared" si="109"/>
        <v>0</v>
      </c>
      <c r="U556" s="448">
        <f t="shared" si="109"/>
        <v>0</v>
      </c>
      <c r="V556" s="448">
        <f t="shared" si="109"/>
        <v>0</v>
      </c>
    </row>
    <row r="557" spans="1:22" s="441" customFormat="1" ht="120">
      <c r="A557" s="580"/>
      <c r="B557" s="572"/>
      <c r="C557" s="589">
        <v>2320</v>
      </c>
      <c r="D557" s="450" t="s">
        <v>264</v>
      </c>
      <c r="E557" s="502">
        <f t="shared" si="98"/>
        <v>22194</v>
      </c>
      <c r="F557" s="445">
        <f t="shared" si="99"/>
        <v>22194</v>
      </c>
      <c r="G557" s="445">
        <f t="shared" si="100"/>
        <v>0</v>
      </c>
      <c r="H557" s="451"/>
      <c r="I557" s="445">
        <f t="shared" si="101"/>
        <v>0</v>
      </c>
      <c r="J557" s="451"/>
      <c r="K557" s="451"/>
      <c r="L557" s="451"/>
      <c r="M557" s="451"/>
      <c r="N557" s="451"/>
      <c r="O557" s="451">
        <v>22194</v>
      </c>
      <c r="P557" s="451"/>
      <c r="Q557" s="451"/>
      <c r="R557" s="451"/>
      <c r="S557" s="445">
        <f t="shared" si="102"/>
        <v>0</v>
      </c>
      <c r="T557" s="451"/>
      <c r="U557" s="451"/>
      <c r="V557" s="451"/>
    </row>
    <row r="558" spans="1:22" s="449" customFormat="1" ht="47.25">
      <c r="A558" s="571"/>
      <c r="B558" s="571">
        <v>85321</v>
      </c>
      <c r="C558" s="588"/>
      <c r="D558" s="262" t="s">
        <v>279</v>
      </c>
      <c r="E558" s="502">
        <f t="shared" si="98"/>
        <v>156568</v>
      </c>
      <c r="F558" s="445">
        <f t="shared" si="99"/>
        <v>156568</v>
      </c>
      <c r="G558" s="445">
        <f t="shared" si="100"/>
        <v>156568</v>
      </c>
      <c r="H558" s="448">
        <f>SUM(H559:H574)</f>
        <v>50570</v>
      </c>
      <c r="I558" s="445">
        <f t="shared" si="101"/>
        <v>105998</v>
      </c>
      <c r="J558" s="448">
        <f aca="true" t="shared" si="110" ref="J558:R558">SUM(J559:J574)</f>
        <v>48470</v>
      </c>
      <c r="K558" s="448">
        <f t="shared" si="110"/>
        <v>3900</v>
      </c>
      <c r="L558" s="448">
        <f t="shared" si="110"/>
        <v>14748</v>
      </c>
      <c r="M558" s="448">
        <f t="shared" si="110"/>
        <v>38880</v>
      </c>
      <c r="N558" s="448">
        <f t="shared" si="110"/>
        <v>0</v>
      </c>
      <c r="O558" s="448">
        <f t="shared" si="110"/>
        <v>0</v>
      </c>
      <c r="P558" s="448">
        <f>SUM(P559:P574)</f>
        <v>0</v>
      </c>
      <c r="Q558" s="448">
        <f t="shared" si="110"/>
        <v>0</v>
      </c>
      <c r="R558" s="448">
        <f t="shared" si="110"/>
        <v>0</v>
      </c>
      <c r="S558" s="445">
        <f t="shared" si="102"/>
        <v>0</v>
      </c>
      <c r="T558" s="448">
        <f>SUM(T559:T574)</f>
        <v>0</v>
      </c>
      <c r="U558" s="448">
        <f>SUM(U559:U574)</f>
        <v>0</v>
      </c>
      <c r="V558" s="448">
        <f>SUM(V559:V574)</f>
        <v>0</v>
      </c>
    </row>
    <row r="559" spans="1:22" s="441" customFormat="1" ht="30">
      <c r="A559" s="572"/>
      <c r="B559" s="572"/>
      <c r="C559" s="589">
        <v>4010</v>
      </c>
      <c r="D559" s="450" t="s">
        <v>102</v>
      </c>
      <c r="E559" s="502">
        <f aca="true" t="shared" si="111" ref="E559:E629">F559+S559</f>
        <v>48470</v>
      </c>
      <c r="F559" s="445">
        <f t="shared" si="99"/>
        <v>48470</v>
      </c>
      <c r="G559" s="445">
        <f t="shared" si="100"/>
        <v>48470</v>
      </c>
      <c r="H559" s="451"/>
      <c r="I559" s="445">
        <f t="shared" si="101"/>
        <v>48470</v>
      </c>
      <c r="J559" s="451">
        <v>48470</v>
      </c>
      <c r="K559" s="451"/>
      <c r="L559" s="451"/>
      <c r="M559" s="451"/>
      <c r="N559" s="451"/>
      <c r="O559" s="451"/>
      <c r="P559" s="451"/>
      <c r="Q559" s="451"/>
      <c r="R559" s="451"/>
      <c r="S559" s="445">
        <f t="shared" si="102"/>
        <v>0</v>
      </c>
      <c r="T559" s="451"/>
      <c r="U559" s="451"/>
      <c r="V559" s="451"/>
    </row>
    <row r="560" spans="1:22" s="441" customFormat="1" ht="32.25" customHeight="1">
      <c r="A560" s="572"/>
      <c r="B560" s="572"/>
      <c r="C560" s="589">
        <v>4040</v>
      </c>
      <c r="D560" s="450" t="s">
        <v>103</v>
      </c>
      <c r="E560" s="502">
        <f t="shared" si="111"/>
        <v>3900</v>
      </c>
      <c r="F560" s="445">
        <f aca="true" t="shared" si="112" ref="F560:F631">G560+N560+O560+P560+Q560+R560</f>
        <v>3900</v>
      </c>
      <c r="G560" s="445">
        <f aca="true" t="shared" si="113" ref="G560:G631">H560+I560</f>
        <v>3900</v>
      </c>
      <c r="H560" s="451"/>
      <c r="I560" s="445">
        <f aca="true" t="shared" si="114" ref="I560:I631">SUM(J560:M560)</f>
        <v>3900</v>
      </c>
      <c r="J560" s="451"/>
      <c r="K560" s="451">
        <v>3900</v>
      </c>
      <c r="L560" s="451"/>
      <c r="M560" s="451"/>
      <c r="N560" s="451"/>
      <c r="O560" s="451"/>
      <c r="P560" s="451"/>
      <c r="Q560" s="451"/>
      <c r="R560" s="451"/>
      <c r="S560" s="445">
        <f aca="true" t="shared" si="115" ref="S560:S631">T560+V560</f>
        <v>0</v>
      </c>
      <c r="T560" s="451"/>
      <c r="U560" s="451"/>
      <c r="V560" s="451"/>
    </row>
    <row r="561" spans="1:22" s="441" customFormat="1" ht="45">
      <c r="A561" s="572"/>
      <c r="B561" s="572"/>
      <c r="C561" s="589">
        <v>4110</v>
      </c>
      <c r="D561" s="450" t="s">
        <v>104</v>
      </c>
      <c r="E561" s="502">
        <f t="shared" si="111"/>
        <v>12741</v>
      </c>
      <c r="F561" s="445">
        <f t="shared" si="112"/>
        <v>12741</v>
      </c>
      <c r="G561" s="445">
        <f t="shared" si="113"/>
        <v>12741</v>
      </c>
      <c r="H561" s="451"/>
      <c r="I561" s="445">
        <f t="shared" si="114"/>
        <v>12741</v>
      </c>
      <c r="J561" s="451"/>
      <c r="K561" s="451"/>
      <c r="L561" s="451">
        <v>12741</v>
      </c>
      <c r="M561" s="451"/>
      <c r="N561" s="451"/>
      <c r="O561" s="451"/>
      <c r="P561" s="451"/>
      <c r="Q561" s="451"/>
      <c r="R561" s="451"/>
      <c r="S561" s="445">
        <f t="shared" si="115"/>
        <v>0</v>
      </c>
      <c r="T561" s="451"/>
      <c r="U561" s="451"/>
      <c r="V561" s="451"/>
    </row>
    <row r="562" spans="1:22" s="441" customFormat="1" ht="30">
      <c r="A562" s="572"/>
      <c r="B562" s="572"/>
      <c r="C562" s="589">
        <v>4120</v>
      </c>
      <c r="D562" s="450" t="s">
        <v>105</v>
      </c>
      <c r="E562" s="502">
        <f t="shared" si="111"/>
        <v>2007</v>
      </c>
      <c r="F562" s="445">
        <f t="shared" si="112"/>
        <v>2007</v>
      </c>
      <c r="G562" s="445">
        <f t="shared" si="113"/>
        <v>2007</v>
      </c>
      <c r="H562" s="451"/>
      <c r="I562" s="445">
        <f t="shared" si="114"/>
        <v>2007</v>
      </c>
      <c r="J562" s="451"/>
      <c r="K562" s="451"/>
      <c r="L562" s="451">
        <v>2007</v>
      </c>
      <c r="M562" s="451"/>
      <c r="N562" s="451"/>
      <c r="O562" s="451"/>
      <c r="P562" s="451"/>
      <c r="Q562" s="451"/>
      <c r="R562" s="451"/>
      <c r="S562" s="445">
        <f t="shared" si="115"/>
        <v>0</v>
      </c>
      <c r="T562" s="451"/>
      <c r="U562" s="451"/>
      <c r="V562" s="451"/>
    </row>
    <row r="563" spans="1:22" s="441" customFormat="1" ht="30">
      <c r="A563" s="572"/>
      <c r="B563" s="572"/>
      <c r="C563" s="589">
        <v>4170</v>
      </c>
      <c r="D563" s="450" t="s">
        <v>106</v>
      </c>
      <c r="E563" s="502">
        <f t="shared" si="111"/>
        <v>38880</v>
      </c>
      <c r="F563" s="445">
        <f t="shared" si="112"/>
        <v>38880</v>
      </c>
      <c r="G563" s="445">
        <f t="shared" si="113"/>
        <v>38880</v>
      </c>
      <c r="H563" s="451"/>
      <c r="I563" s="445">
        <f t="shared" si="114"/>
        <v>38880</v>
      </c>
      <c r="J563" s="451"/>
      <c r="K563" s="451"/>
      <c r="L563" s="451"/>
      <c r="M563" s="451">
        <v>38880</v>
      </c>
      <c r="N563" s="451"/>
      <c r="O563" s="451"/>
      <c r="P563" s="451"/>
      <c r="Q563" s="451"/>
      <c r="R563" s="451"/>
      <c r="S563" s="445">
        <f t="shared" si="115"/>
        <v>0</v>
      </c>
      <c r="T563" s="451"/>
      <c r="U563" s="451"/>
      <c r="V563" s="451"/>
    </row>
    <row r="564" spans="1:22" s="441" customFormat="1" ht="32.25" customHeight="1">
      <c r="A564" s="572"/>
      <c r="B564" s="572"/>
      <c r="C564" s="589">
        <v>4210</v>
      </c>
      <c r="D564" s="450" t="s">
        <v>107</v>
      </c>
      <c r="E564" s="502">
        <f t="shared" si="111"/>
        <v>5692</v>
      </c>
      <c r="F564" s="445">
        <f t="shared" si="112"/>
        <v>5692</v>
      </c>
      <c r="G564" s="445">
        <f t="shared" si="113"/>
        <v>5692</v>
      </c>
      <c r="H564" s="451">
        <v>5692</v>
      </c>
      <c r="I564" s="445">
        <f t="shared" si="114"/>
        <v>0</v>
      </c>
      <c r="J564" s="451"/>
      <c r="K564" s="451"/>
      <c r="L564" s="451"/>
      <c r="M564" s="451"/>
      <c r="N564" s="451"/>
      <c r="O564" s="451"/>
      <c r="P564" s="451"/>
      <c r="Q564" s="451"/>
      <c r="R564" s="451"/>
      <c r="S564" s="445">
        <f t="shared" si="115"/>
        <v>0</v>
      </c>
      <c r="T564" s="451"/>
      <c r="U564" s="451"/>
      <c r="V564" s="451"/>
    </row>
    <row r="565" spans="1:22" s="441" customFormat="1" ht="30">
      <c r="A565" s="572"/>
      <c r="B565" s="572"/>
      <c r="C565" s="589">
        <v>4270</v>
      </c>
      <c r="D565" s="450" t="s">
        <v>109</v>
      </c>
      <c r="E565" s="502">
        <f t="shared" si="111"/>
        <v>550</v>
      </c>
      <c r="F565" s="445">
        <f t="shared" si="112"/>
        <v>550</v>
      </c>
      <c r="G565" s="445">
        <f t="shared" si="113"/>
        <v>550</v>
      </c>
      <c r="H565" s="451">
        <v>550</v>
      </c>
      <c r="I565" s="445">
        <f t="shared" si="114"/>
        <v>0</v>
      </c>
      <c r="J565" s="451"/>
      <c r="K565" s="451"/>
      <c r="L565" s="451"/>
      <c r="M565" s="451"/>
      <c r="N565" s="451"/>
      <c r="O565" s="451"/>
      <c r="P565" s="451"/>
      <c r="Q565" s="451"/>
      <c r="R565" s="451"/>
      <c r="S565" s="445">
        <f t="shared" si="115"/>
        <v>0</v>
      </c>
      <c r="T565" s="451"/>
      <c r="U565" s="451"/>
      <c r="V565" s="451"/>
    </row>
    <row r="566" spans="1:22" s="441" customFormat="1" ht="15.75">
      <c r="A566" s="572"/>
      <c r="B566" s="572"/>
      <c r="C566" s="589">
        <v>4280</v>
      </c>
      <c r="D566" s="450" t="s">
        <v>197</v>
      </c>
      <c r="E566" s="502">
        <f>F566+S566</f>
        <v>140</v>
      </c>
      <c r="F566" s="445">
        <f>G566+N566+O566+P566+Q566+R566</f>
        <v>140</v>
      </c>
      <c r="G566" s="445">
        <f>H566+I566</f>
        <v>140</v>
      </c>
      <c r="H566" s="451">
        <v>140</v>
      </c>
      <c r="I566" s="445">
        <f>SUM(J566:M566)</f>
        <v>0</v>
      </c>
      <c r="J566" s="451"/>
      <c r="K566" s="451"/>
      <c r="L566" s="451"/>
      <c r="M566" s="451"/>
      <c r="N566" s="451"/>
      <c r="O566" s="451"/>
      <c r="P566" s="451"/>
      <c r="Q566" s="451"/>
      <c r="R566" s="451"/>
      <c r="S566" s="445">
        <f>T566+V566</f>
        <v>0</v>
      </c>
      <c r="T566" s="451"/>
      <c r="U566" s="451"/>
      <c r="V566" s="451"/>
    </row>
    <row r="567" spans="1:22" s="441" customFormat="1" ht="30">
      <c r="A567" s="572"/>
      <c r="B567" s="572"/>
      <c r="C567" s="589">
        <v>4300</v>
      </c>
      <c r="D567" s="450" t="s">
        <v>90</v>
      </c>
      <c r="E567" s="502">
        <f t="shared" si="111"/>
        <v>38660</v>
      </c>
      <c r="F567" s="445">
        <f t="shared" si="112"/>
        <v>38660</v>
      </c>
      <c r="G567" s="445">
        <f t="shared" si="113"/>
        <v>38660</v>
      </c>
      <c r="H567" s="451">
        <v>38660</v>
      </c>
      <c r="I567" s="445">
        <f t="shared" si="114"/>
        <v>0</v>
      </c>
      <c r="J567" s="451"/>
      <c r="K567" s="451"/>
      <c r="L567" s="451"/>
      <c r="M567" s="451"/>
      <c r="N567" s="451"/>
      <c r="O567" s="451"/>
      <c r="P567" s="451"/>
      <c r="Q567" s="451"/>
      <c r="R567" s="451"/>
      <c r="S567" s="445">
        <f t="shared" si="115"/>
        <v>0</v>
      </c>
      <c r="T567" s="451"/>
      <c r="U567" s="451"/>
      <c r="V567" s="451"/>
    </row>
    <row r="568" spans="1:22" s="441" customFormat="1" ht="31.5">
      <c r="A568" s="572"/>
      <c r="B568" s="572"/>
      <c r="C568" s="589">
        <v>4350</v>
      </c>
      <c r="D568" s="454" t="s">
        <v>111</v>
      </c>
      <c r="E568" s="502">
        <f t="shared" si="111"/>
        <v>500</v>
      </c>
      <c r="F568" s="445">
        <f t="shared" si="112"/>
        <v>500</v>
      </c>
      <c r="G568" s="445">
        <f t="shared" si="113"/>
        <v>500</v>
      </c>
      <c r="H568" s="451">
        <v>500</v>
      </c>
      <c r="I568" s="445">
        <f t="shared" si="114"/>
        <v>0</v>
      </c>
      <c r="J568" s="451"/>
      <c r="K568" s="451"/>
      <c r="L568" s="451"/>
      <c r="M568" s="451"/>
      <c r="N568" s="451"/>
      <c r="O568" s="451"/>
      <c r="P568" s="451"/>
      <c r="Q568" s="451"/>
      <c r="R568" s="451"/>
      <c r="S568" s="445">
        <f t="shared" si="115"/>
        <v>0</v>
      </c>
      <c r="T568" s="451"/>
      <c r="U568" s="451"/>
      <c r="V568" s="451"/>
    </row>
    <row r="569" spans="1:22" s="441" customFormat="1" ht="60">
      <c r="A569" s="572"/>
      <c r="B569" s="572"/>
      <c r="C569" s="589">
        <v>4370</v>
      </c>
      <c r="D569" s="450" t="s">
        <v>238</v>
      </c>
      <c r="E569" s="502">
        <f t="shared" si="111"/>
        <v>1600</v>
      </c>
      <c r="F569" s="445">
        <f t="shared" si="112"/>
        <v>1600</v>
      </c>
      <c r="G569" s="445">
        <f t="shared" si="113"/>
        <v>1600</v>
      </c>
      <c r="H569" s="451">
        <v>1600</v>
      </c>
      <c r="I569" s="445">
        <f t="shared" si="114"/>
        <v>0</v>
      </c>
      <c r="J569" s="451"/>
      <c r="K569" s="451"/>
      <c r="L569" s="451"/>
      <c r="M569" s="451"/>
      <c r="N569" s="451"/>
      <c r="O569" s="451"/>
      <c r="P569" s="451"/>
      <c r="Q569" s="451"/>
      <c r="R569" s="451"/>
      <c r="S569" s="445">
        <f t="shared" si="115"/>
        <v>0</v>
      </c>
      <c r="T569" s="451"/>
      <c r="U569" s="451"/>
      <c r="V569" s="451"/>
    </row>
    <row r="570" spans="1:22" s="441" customFormat="1" ht="15.75">
      <c r="A570" s="572"/>
      <c r="B570" s="572"/>
      <c r="C570" s="589">
        <v>4410</v>
      </c>
      <c r="D570" s="450" t="s">
        <v>280</v>
      </c>
      <c r="E570" s="502">
        <f t="shared" si="111"/>
        <v>200</v>
      </c>
      <c r="F570" s="445">
        <f t="shared" si="112"/>
        <v>200</v>
      </c>
      <c r="G570" s="445">
        <f t="shared" si="113"/>
        <v>200</v>
      </c>
      <c r="H570" s="451">
        <v>200</v>
      </c>
      <c r="I570" s="445">
        <f t="shared" si="114"/>
        <v>0</v>
      </c>
      <c r="J570" s="451"/>
      <c r="K570" s="451"/>
      <c r="L570" s="451"/>
      <c r="M570" s="451"/>
      <c r="N570" s="451"/>
      <c r="O570" s="451"/>
      <c r="P570" s="451"/>
      <c r="Q570" s="451"/>
      <c r="R570" s="451"/>
      <c r="S570" s="445">
        <f t="shared" si="115"/>
        <v>0</v>
      </c>
      <c r="T570" s="451"/>
      <c r="U570" s="451"/>
      <c r="V570" s="451"/>
    </row>
    <row r="571" spans="1:22" s="441" customFormat="1" ht="45">
      <c r="A571" s="572"/>
      <c r="B571" s="572"/>
      <c r="C571" s="589">
        <v>4440</v>
      </c>
      <c r="D571" s="450" t="s">
        <v>117</v>
      </c>
      <c r="E571" s="502">
        <f t="shared" si="111"/>
        <v>1048</v>
      </c>
      <c r="F571" s="445">
        <f t="shared" si="112"/>
        <v>1048</v>
      </c>
      <c r="G571" s="445">
        <f t="shared" si="113"/>
        <v>1048</v>
      </c>
      <c r="H571" s="451">
        <v>1048</v>
      </c>
      <c r="I571" s="445">
        <f t="shared" si="114"/>
        <v>0</v>
      </c>
      <c r="J571" s="451"/>
      <c r="K571" s="451"/>
      <c r="L571" s="451"/>
      <c r="M571" s="451"/>
      <c r="N571" s="451"/>
      <c r="O571" s="451"/>
      <c r="P571" s="451"/>
      <c r="Q571" s="451"/>
      <c r="R571" s="451"/>
      <c r="S571" s="445">
        <f t="shared" si="115"/>
        <v>0</v>
      </c>
      <c r="T571" s="451"/>
      <c r="U571" s="451"/>
      <c r="V571" s="451"/>
    </row>
    <row r="572" spans="1:22" s="441" customFormat="1" ht="45">
      <c r="A572" s="572"/>
      <c r="B572" s="572"/>
      <c r="C572" s="589">
        <v>4700</v>
      </c>
      <c r="D572" s="450" t="s">
        <v>385</v>
      </c>
      <c r="E572" s="502">
        <f t="shared" si="111"/>
        <v>380</v>
      </c>
      <c r="F572" s="445">
        <f t="shared" si="112"/>
        <v>380</v>
      </c>
      <c r="G572" s="445">
        <f t="shared" si="113"/>
        <v>380</v>
      </c>
      <c r="H572" s="451">
        <v>380</v>
      </c>
      <c r="I572" s="445">
        <f t="shared" si="114"/>
        <v>0</v>
      </c>
      <c r="J572" s="451"/>
      <c r="K572" s="451"/>
      <c r="L572" s="451"/>
      <c r="M572" s="451"/>
      <c r="N572" s="451"/>
      <c r="O572" s="451"/>
      <c r="P572" s="451"/>
      <c r="Q572" s="451"/>
      <c r="R572" s="451"/>
      <c r="S572" s="445">
        <f t="shared" si="115"/>
        <v>0</v>
      </c>
      <c r="T572" s="451"/>
      <c r="U572" s="451"/>
      <c r="V572" s="451"/>
    </row>
    <row r="573" spans="1:22" s="441" customFormat="1" ht="60">
      <c r="A573" s="572"/>
      <c r="B573" s="572"/>
      <c r="C573" s="589">
        <v>4740</v>
      </c>
      <c r="D573" s="450" t="s">
        <v>199</v>
      </c>
      <c r="E573" s="502">
        <f t="shared" si="111"/>
        <v>300</v>
      </c>
      <c r="F573" s="445">
        <f t="shared" si="112"/>
        <v>300</v>
      </c>
      <c r="G573" s="445">
        <f t="shared" si="113"/>
        <v>300</v>
      </c>
      <c r="H573" s="451">
        <v>300</v>
      </c>
      <c r="I573" s="445">
        <f t="shared" si="114"/>
        <v>0</v>
      </c>
      <c r="J573" s="451"/>
      <c r="K573" s="451"/>
      <c r="L573" s="451"/>
      <c r="M573" s="451"/>
      <c r="N573" s="451"/>
      <c r="O573" s="451"/>
      <c r="P573" s="451"/>
      <c r="Q573" s="451"/>
      <c r="R573" s="451"/>
      <c r="S573" s="445">
        <f t="shared" si="115"/>
        <v>0</v>
      </c>
      <c r="T573" s="451"/>
      <c r="U573" s="451"/>
      <c r="V573" s="451"/>
    </row>
    <row r="574" spans="1:22" s="441" customFormat="1" ht="45">
      <c r="A574" s="572"/>
      <c r="B574" s="572"/>
      <c r="C574" s="589">
        <v>4750</v>
      </c>
      <c r="D574" s="450" t="s">
        <v>239</v>
      </c>
      <c r="E574" s="502">
        <f t="shared" si="111"/>
        <v>1500</v>
      </c>
      <c r="F574" s="445">
        <f t="shared" si="112"/>
        <v>1500</v>
      </c>
      <c r="G574" s="445">
        <f t="shared" si="113"/>
        <v>1500</v>
      </c>
      <c r="H574" s="451">
        <v>1500</v>
      </c>
      <c r="I574" s="445">
        <f t="shared" si="114"/>
        <v>0</v>
      </c>
      <c r="J574" s="451"/>
      <c r="K574" s="451"/>
      <c r="L574" s="451"/>
      <c r="M574" s="451"/>
      <c r="N574" s="451"/>
      <c r="O574" s="451"/>
      <c r="P574" s="451"/>
      <c r="Q574" s="451"/>
      <c r="R574" s="451"/>
      <c r="S574" s="445">
        <f t="shared" si="115"/>
        <v>0</v>
      </c>
      <c r="T574" s="451"/>
      <c r="U574" s="451"/>
      <c r="V574" s="451"/>
    </row>
    <row r="575" spans="1:22" s="449" customFormat="1" ht="31.5">
      <c r="A575" s="571"/>
      <c r="B575" s="571">
        <v>85333</v>
      </c>
      <c r="C575" s="588"/>
      <c r="D575" s="262" t="s">
        <v>281</v>
      </c>
      <c r="E575" s="502">
        <f t="shared" si="111"/>
        <v>2638121</v>
      </c>
      <c r="F575" s="445">
        <f t="shared" si="112"/>
        <v>2627121</v>
      </c>
      <c r="G575" s="445">
        <f t="shared" si="113"/>
        <v>2467654</v>
      </c>
      <c r="H575" s="448">
        <f>SUM(H576:H607)</f>
        <v>328095</v>
      </c>
      <c r="I575" s="445">
        <f t="shared" si="114"/>
        <v>2139559</v>
      </c>
      <c r="J575" s="448">
        <f>SUM(J576:J607)</f>
        <v>1673200</v>
      </c>
      <c r="K575" s="448">
        <f aca="true" t="shared" si="116" ref="K575:R575">SUM(K576:K607)</f>
        <v>129000</v>
      </c>
      <c r="L575" s="448">
        <f t="shared" si="116"/>
        <v>337359</v>
      </c>
      <c r="M575" s="448">
        <f t="shared" si="116"/>
        <v>0</v>
      </c>
      <c r="N575" s="448">
        <f t="shared" si="116"/>
        <v>2645</v>
      </c>
      <c r="O575" s="448">
        <f t="shared" si="116"/>
        <v>0</v>
      </c>
      <c r="P575" s="448">
        <f>SUM(P576:P607)</f>
        <v>0</v>
      </c>
      <c r="Q575" s="448">
        <f t="shared" si="116"/>
        <v>0</v>
      </c>
      <c r="R575" s="448">
        <f t="shared" si="116"/>
        <v>156822</v>
      </c>
      <c r="S575" s="445">
        <f t="shared" si="115"/>
        <v>11000</v>
      </c>
      <c r="T575" s="448">
        <f>SUM(T576:T607)</f>
        <v>11000</v>
      </c>
      <c r="U575" s="448">
        <f>SUM(U576:U607)</f>
        <v>0</v>
      </c>
      <c r="V575" s="448">
        <f>SUM(V576:V607)</f>
        <v>0</v>
      </c>
    </row>
    <row r="576" spans="1:22" s="441" customFormat="1" ht="45">
      <c r="A576" s="572"/>
      <c r="B576" s="572"/>
      <c r="C576" s="589">
        <v>3020</v>
      </c>
      <c r="D576" s="450" t="s">
        <v>386</v>
      </c>
      <c r="E576" s="502">
        <f t="shared" si="111"/>
        <v>2645</v>
      </c>
      <c r="F576" s="445">
        <f t="shared" si="112"/>
        <v>2645</v>
      </c>
      <c r="G576" s="445">
        <f t="shared" si="113"/>
        <v>0</v>
      </c>
      <c r="H576" s="451"/>
      <c r="I576" s="445">
        <f t="shared" si="114"/>
        <v>0</v>
      </c>
      <c r="J576" s="451"/>
      <c r="K576" s="451"/>
      <c r="L576" s="451"/>
      <c r="M576" s="451"/>
      <c r="N576" s="451">
        <v>2645</v>
      </c>
      <c r="O576" s="451"/>
      <c r="P576" s="451"/>
      <c r="Q576" s="451"/>
      <c r="R576" s="451"/>
      <c r="S576" s="445">
        <f t="shared" si="115"/>
        <v>0</v>
      </c>
      <c r="T576" s="451"/>
      <c r="U576" s="451"/>
      <c r="V576" s="451"/>
    </row>
    <row r="577" spans="1:22" s="441" customFormat="1" ht="30">
      <c r="A577" s="572"/>
      <c r="B577" s="572"/>
      <c r="C577" s="408">
        <v>4010</v>
      </c>
      <c r="D577" s="450" t="s">
        <v>102</v>
      </c>
      <c r="E577" s="502">
        <f t="shared" si="111"/>
        <v>1673200</v>
      </c>
      <c r="F577" s="445">
        <f t="shared" si="112"/>
        <v>1673200</v>
      </c>
      <c r="G577" s="445">
        <f t="shared" si="113"/>
        <v>1673200</v>
      </c>
      <c r="H577" s="451"/>
      <c r="I577" s="445">
        <f t="shared" si="114"/>
        <v>1673200</v>
      </c>
      <c r="J577" s="451">
        <v>1673200</v>
      </c>
      <c r="K577" s="451"/>
      <c r="L577" s="451"/>
      <c r="M577" s="451"/>
      <c r="N577" s="451"/>
      <c r="O577" s="451"/>
      <c r="P577" s="451"/>
      <c r="Q577" s="451"/>
      <c r="R577" s="451"/>
      <c r="S577" s="445">
        <f t="shared" si="115"/>
        <v>0</v>
      </c>
      <c r="T577" s="451"/>
      <c r="U577" s="451"/>
      <c r="V577" s="451"/>
    </row>
    <row r="578" spans="1:22" s="441" customFormat="1" ht="30">
      <c r="A578" s="572"/>
      <c r="B578" s="572"/>
      <c r="C578" s="408">
        <v>4017</v>
      </c>
      <c r="D578" s="450" t="s">
        <v>102</v>
      </c>
      <c r="E578" s="502">
        <f t="shared" si="111"/>
        <v>100800</v>
      </c>
      <c r="F578" s="445">
        <f t="shared" si="112"/>
        <v>100800</v>
      </c>
      <c r="G578" s="445">
        <f t="shared" si="113"/>
        <v>0</v>
      </c>
      <c r="H578" s="451"/>
      <c r="I578" s="445">
        <f t="shared" si="114"/>
        <v>0</v>
      </c>
      <c r="J578" s="451"/>
      <c r="K578" s="451"/>
      <c r="L578" s="451"/>
      <c r="M578" s="451"/>
      <c r="N578" s="451"/>
      <c r="O578" s="451"/>
      <c r="P578" s="451"/>
      <c r="Q578" s="451"/>
      <c r="R578" s="451">
        <v>100800</v>
      </c>
      <c r="S578" s="445">
        <f t="shared" si="115"/>
        <v>0</v>
      </c>
      <c r="T578" s="451"/>
      <c r="U578" s="451"/>
      <c r="V578" s="451"/>
    </row>
    <row r="579" spans="1:22" s="441" customFormat="1" ht="30">
      <c r="A579" s="572"/>
      <c r="B579" s="572"/>
      <c r="C579" s="589">
        <v>4040</v>
      </c>
      <c r="D579" s="450" t="s">
        <v>103</v>
      </c>
      <c r="E579" s="502">
        <f t="shared" si="111"/>
        <v>129000</v>
      </c>
      <c r="F579" s="445">
        <f t="shared" si="112"/>
        <v>129000</v>
      </c>
      <c r="G579" s="445">
        <f t="shared" si="113"/>
        <v>129000</v>
      </c>
      <c r="H579" s="451"/>
      <c r="I579" s="445">
        <f t="shared" si="114"/>
        <v>129000</v>
      </c>
      <c r="J579" s="451"/>
      <c r="K579" s="451">
        <v>129000</v>
      </c>
      <c r="L579" s="451"/>
      <c r="M579" s="451"/>
      <c r="N579" s="451"/>
      <c r="O579" s="451"/>
      <c r="P579" s="451"/>
      <c r="Q579" s="451"/>
      <c r="R579" s="451"/>
      <c r="S579" s="445">
        <f t="shared" si="115"/>
        <v>0</v>
      </c>
      <c r="T579" s="451"/>
      <c r="U579" s="451"/>
      <c r="V579" s="451"/>
    </row>
    <row r="580" spans="1:22" s="441" customFormat="1" ht="36.75" customHeight="1">
      <c r="A580" s="572"/>
      <c r="B580" s="572"/>
      <c r="C580" s="589">
        <v>4047</v>
      </c>
      <c r="D580" s="450" t="s">
        <v>103</v>
      </c>
      <c r="E580" s="502">
        <f t="shared" si="111"/>
        <v>8270</v>
      </c>
      <c r="F580" s="445">
        <f t="shared" si="112"/>
        <v>8270</v>
      </c>
      <c r="G580" s="445">
        <f t="shared" si="113"/>
        <v>0</v>
      </c>
      <c r="H580" s="451"/>
      <c r="I580" s="445">
        <f t="shared" si="114"/>
        <v>0</v>
      </c>
      <c r="J580" s="451"/>
      <c r="K580" s="451"/>
      <c r="L580" s="451"/>
      <c r="M580" s="451"/>
      <c r="N580" s="451"/>
      <c r="O580" s="451"/>
      <c r="P580" s="451"/>
      <c r="Q580" s="451"/>
      <c r="R580" s="451">
        <v>8270</v>
      </c>
      <c r="S580" s="445">
        <f t="shared" si="115"/>
        <v>0</v>
      </c>
      <c r="T580" s="451"/>
      <c r="U580" s="451"/>
      <c r="V580" s="451"/>
    </row>
    <row r="581" spans="1:22" s="441" customFormat="1" ht="45">
      <c r="A581" s="572"/>
      <c r="B581" s="572"/>
      <c r="C581" s="589">
        <v>4110</v>
      </c>
      <c r="D581" s="450" t="s">
        <v>104</v>
      </c>
      <c r="E581" s="502">
        <f t="shared" si="111"/>
        <v>290296</v>
      </c>
      <c r="F581" s="445">
        <f t="shared" si="112"/>
        <v>290296</v>
      </c>
      <c r="G581" s="445">
        <f t="shared" si="113"/>
        <v>290296</v>
      </c>
      <c r="H581" s="451"/>
      <c r="I581" s="445">
        <f t="shared" si="114"/>
        <v>290296</v>
      </c>
      <c r="J581" s="451"/>
      <c r="K581" s="451"/>
      <c r="L581" s="451">
        <v>290296</v>
      </c>
      <c r="M581" s="451"/>
      <c r="N581" s="451"/>
      <c r="O581" s="451"/>
      <c r="P581" s="451"/>
      <c r="Q581" s="451"/>
      <c r="R581" s="451"/>
      <c r="S581" s="445">
        <f t="shared" si="115"/>
        <v>0</v>
      </c>
      <c r="T581" s="451"/>
      <c r="U581" s="451"/>
      <c r="V581" s="451"/>
    </row>
    <row r="582" spans="1:22" s="441" customFormat="1" ht="45">
      <c r="A582" s="572"/>
      <c r="B582" s="572"/>
      <c r="C582" s="589">
        <v>4117</v>
      </c>
      <c r="D582" s="450" t="s">
        <v>104</v>
      </c>
      <c r="E582" s="502">
        <f t="shared" si="111"/>
        <v>16471</v>
      </c>
      <c r="F582" s="445">
        <f t="shared" si="112"/>
        <v>16471</v>
      </c>
      <c r="G582" s="445">
        <f t="shared" si="113"/>
        <v>0</v>
      </c>
      <c r="H582" s="451"/>
      <c r="I582" s="445">
        <f t="shared" si="114"/>
        <v>0</v>
      </c>
      <c r="J582" s="451"/>
      <c r="K582" s="451"/>
      <c r="L582" s="451"/>
      <c r="M582" s="451"/>
      <c r="N582" s="451"/>
      <c r="O582" s="451"/>
      <c r="P582" s="451"/>
      <c r="Q582" s="451"/>
      <c r="R582" s="451">
        <v>16471</v>
      </c>
      <c r="S582" s="445">
        <f t="shared" si="115"/>
        <v>0</v>
      </c>
      <c r="T582" s="451"/>
      <c r="U582" s="451"/>
      <c r="V582" s="451"/>
    </row>
    <row r="583" spans="1:22" s="441" customFormat="1" ht="30">
      <c r="A583" s="572"/>
      <c r="B583" s="572"/>
      <c r="C583" s="589">
        <v>4120</v>
      </c>
      <c r="D583" s="450" t="s">
        <v>105</v>
      </c>
      <c r="E583" s="502">
        <f t="shared" si="111"/>
        <v>47063</v>
      </c>
      <c r="F583" s="445">
        <f t="shared" si="112"/>
        <v>47063</v>
      </c>
      <c r="G583" s="445">
        <f t="shared" si="113"/>
        <v>47063</v>
      </c>
      <c r="H583" s="451"/>
      <c r="I583" s="445">
        <f t="shared" si="114"/>
        <v>47063</v>
      </c>
      <c r="J583" s="451"/>
      <c r="K583" s="451"/>
      <c r="L583" s="451">
        <v>47063</v>
      </c>
      <c r="M583" s="451"/>
      <c r="N583" s="451"/>
      <c r="O583" s="451"/>
      <c r="P583" s="451"/>
      <c r="Q583" s="451"/>
      <c r="R583" s="451"/>
      <c r="S583" s="445">
        <f t="shared" si="115"/>
        <v>0</v>
      </c>
      <c r="T583" s="451"/>
      <c r="U583" s="451"/>
      <c r="V583" s="451"/>
    </row>
    <row r="584" spans="1:22" s="441" customFormat="1" ht="30">
      <c r="A584" s="572"/>
      <c r="B584" s="572"/>
      <c r="C584" s="589">
        <v>4127</v>
      </c>
      <c r="D584" s="450" t="s">
        <v>105</v>
      </c>
      <c r="E584" s="502">
        <f t="shared" si="111"/>
        <v>2670</v>
      </c>
      <c r="F584" s="445">
        <f t="shared" si="112"/>
        <v>2670</v>
      </c>
      <c r="G584" s="445">
        <f t="shared" si="113"/>
        <v>0</v>
      </c>
      <c r="H584" s="451"/>
      <c r="I584" s="445">
        <f t="shared" si="114"/>
        <v>0</v>
      </c>
      <c r="J584" s="451"/>
      <c r="K584" s="451"/>
      <c r="L584" s="451"/>
      <c r="M584" s="451"/>
      <c r="N584" s="451"/>
      <c r="O584" s="451"/>
      <c r="P584" s="451"/>
      <c r="Q584" s="451"/>
      <c r="R584" s="451">
        <v>2670</v>
      </c>
      <c r="S584" s="445">
        <f t="shared" si="115"/>
        <v>0</v>
      </c>
      <c r="T584" s="451"/>
      <c r="U584" s="451"/>
      <c r="V584" s="451"/>
    </row>
    <row r="585" spans="1:22" s="441" customFormat="1" ht="15.75">
      <c r="A585" s="572"/>
      <c r="B585" s="572"/>
      <c r="C585" s="589">
        <v>4140</v>
      </c>
      <c r="D585" s="450" t="s">
        <v>253</v>
      </c>
      <c r="E585" s="502">
        <f t="shared" si="111"/>
        <v>7500</v>
      </c>
      <c r="F585" s="445">
        <f t="shared" si="112"/>
        <v>7500</v>
      </c>
      <c r="G585" s="445">
        <f t="shared" si="113"/>
        <v>7500</v>
      </c>
      <c r="H585" s="451">
        <v>7500</v>
      </c>
      <c r="I585" s="445">
        <f t="shared" si="114"/>
        <v>0</v>
      </c>
      <c r="J585" s="451"/>
      <c r="K585" s="451"/>
      <c r="L585" s="451"/>
      <c r="M585" s="451"/>
      <c r="N585" s="451"/>
      <c r="O585" s="451"/>
      <c r="P585" s="451"/>
      <c r="Q585" s="451"/>
      <c r="R585" s="451"/>
      <c r="S585" s="445">
        <f t="shared" si="115"/>
        <v>0</v>
      </c>
      <c r="T585" s="451"/>
      <c r="U585" s="451"/>
      <c r="V585" s="451"/>
    </row>
    <row r="586" spans="1:22" s="441" customFormat="1" ht="30">
      <c r="A586" s="572"/>
      <c r="B586" s="572"/>
      <c r="C586" s="589">
        <v>4210</v>
      </c>
      <c r="D586" s="450" t="s">
        <v>107</v>
      </c>
      <c r="E586" s="502">
        <f t="shared" si="111"/>
        <v>39875</v>
      </c>
      <c r="F586" s="445">
        <f t="shared" si="112"/>
        <v>39875</v>
      </c>
      <c r="G586" s="445">
        <f t="shared" si="113"/>
        <v>39875</v>
      </c>
      <c r="H586" s="451">
        <v>39875</v>
      </c>
      <c r="I586" s="445">
        <f t="shared" si="114"/>
        <v>0</v>
      </c>
      <c r="J586" s="451"/>
      <c r="K586" s="451"/>
      <c r="L586" s="451"/>
      <c r="M586" s="451"/>
      <c r="N586" s="451"/>
      <c r="O586" s="451"/>
      <c r="P586" s="451"/>
      <c r="Q586" s="451"/>
      <c r="R586" s="451"/>
      <c r="S586" s="445">
        <f t="shared" si="115"/>
        <v>0</v>
      </c>
      <c r="T586" s="451"/>
      <c r="U586" s="451"/>
      <c r="V586" s="451"/>
    </row>
    <row r="587" spans="1:22" s="441" customFormat="1" ht="30" customHeight="1" hidden="1">
      <c r="A587" s="572"/>
      <c r="B587" s="572"/>
      <c r="C587" s="589">
        <v>4218</v>
      </c>
      <c r="D587" s="450" t="s">
        <v>107</v>
      </c>
      <c r="E587" s="502">
        <f t="shared" si="111"/>
        <v>0</v>
      </c>
      <c r="F587" s="445">
        <f t="shared" si="112"/>
        <v>0</v>
      </c>
      <c r="G587" s="445">
        <f t="shared" si="113"/>
        <v>0</v>
      </c>
      <c r="H587" s="451"/>
      <c r="I587" s="445">
        <f t="shared" si="114"/>
        <v>0</v>
      </c>
      <c r="J587" s="451"/>
      <c r="K587" s="451"/>
      <c r="L587" s="451"/>
      <c r="M587" s="451"/>
      <c r="N587" s="451"/>
      <c r="O587" s="451"/>
      <c r="P587" s="451"/>
      <c r="Q587" s="451"/>
      <c r="R587" s="451"/>
      <c r="S587" s="445">
        <f t="shared" si="115"/>
        <v>0</v>
      </c>
      <c r="T587" s="451"/>
      <c r="U587" s="451"/>
      <c r="V587" s="451"/>
    </row>
    <row r="588" spans="1:22" s="441" customFormat="1" ht="15.75">
      <c r="A588" s="572"/>
      <c r="B588" s="572"/>
      <c r="C588" s="589">
        <v>4260</v>
      </c>
      <c r="D588" s="450" t="s">
        <v>108</v>
      </c>
      <c r="E588" s="502">
        <f t="shared" si="111"/>
        <v>74967</v>
      </c>
      <c r="F588" s="445">
        <f t="shared" si="112"/>
        <v>74967</v>
      </c>
      <c r="G588" s="445">
        <f t="shared" si="113"/>
        <v>74967</v>
      </c>
      <c r="H588" s="451">
        <v>74967</v>
      </c>
      <c r="I588" s="445">
        <f t="shared" si="114"/>
        <v>0</v>
      </c>
      <c r="J588" s="451"/>
      <c r="K588" s="451"/>
      <c r="L588" s="451"/>
      <c r="M588" s="451"/>
      <c r="N588" s="451"/>
      <c r="O588" s="451"/>
      <c r="P588" s="451"/>
      <c r="Q588" s="451"/>
      <c r="R588" s="451"/>
      <c r="S588" s="445">
        <f t="shared" si="115"/>
        <v>0</v>
      </c>
      <c r="T588" s="451"/>
      <c r="U588" s="451"/>
      <c r="V588" s="451"/>
    </row>
    <row r="589" spans="1:22" s="441" customFormat="1" ht="30">
      <c r="A589" s="572"/>
      <c r="B589" s="572"/>
      <c r="C589" s="589">
        <v>4270</v>
      </c>
      <c r="D589" s="450" t="s">
        <v>109</v>
      </c>
      <c r="E589" s="502">
        <f t="shared" si="111"/>
        <v>4000</v>
      </c>
      <c r="F589" s="445">
        <f t="shared" si="112"/>
        <v>4000</v>
      </c>
      <c r="G589" s="445">
        <f t="shared" si="113"/>
        <v>4000</v>
      </c>
      <c r="H589" s="451">
        <v>4000</v>
      </c>
      <c r="I589" s="445">
        <f t="shared" si="114"/>
        <v>0</v>
      </c>
      <c r="J589" s="451"/>
      <c r="K589" s="451"/>
      <c r="L589" s="451"/>
      <c r="M589" s="451"/>
      <c r="N589" s="451"/>
      <c r="O589" s="451"/>
      <c r="P589" s="451"/>
      <c r="Q589" s="451"/>
      <c r="R589" s="451"/>
      <c r="S589" s="445">
        <f t="shared" si="115"/>
        <v>0</v>
      </c>
      <c r="T589" s="451"/>
      <c r="U589" s="451"/>
      <c r="V589" s="451"/>
    </row>
    <row r="590" spans="1:22" s="441" customFormat="1" ht="30">
      <c r="A590" s="572"/>
      <c r="B590" s="572"/>
      <c r="C590" s="589">
        <v>4280</v>
      </c>
      <c r="D590" s="450" t="s">
        <v>282</v>
      </c>
      <c r="E590" s="502">
        <f t="shared" si="111"/>
        <v>1900</v>
      </c>
      <c r="F590" s="445">
        <f t="shared" si="112"/>
        <v>1900</v>
      </c>
      <c r="G590" s="445">
        <f t="shared" si="113"/>
        <v>1900</v>
      </c>
      <c r="H590" s="451">
        <v>1900</v>
      </c>
      <c r="I590" s="445">
        <f t="shared" si="114"/>
        <v>0</v>
      </c>
      <c r="J590" s="451"/>
      <c r="K590" s="451"/>
      <c r="L590" s="451"/>
      <c r="M590" s="451"/>
      <c r="N590" s="451"/>
      <c r="O590" s="451"/>
      <c r="P590" s="451"/>
      <c r="Q590" s="451"/>
      <c r="R590" s="451"/>
      <c r="S590" s="445">
        <f t="shared" si="115"/>
        <v>0</v>
      </c>
      <c r="T590" s="451"/>
      <c r="U590" s="451"/>
      <c r="V590" s="451"/>
    </row>
    <row r="591" spans="1:22" s="441" customFormat="1" ht="30">
      <c r="A591" s="572"/>
      <c r="B591" s="572"/>
      <c r="C591" s="589">
        <v>4300</v>
      </c>
      <c r="D591" s="450" t="s">
        <v>283</v>
      </c>
      <c r="E591" s="502">
        <f t="shared" si="111"/>
        <v>17000</v>
      </c>
      <c r="F591" s="445">
        <f t="shared" si="112"/>
        <v>17000</v>
      </c>
      <c r="G591" s="445">
        <f t="shared" si="113"/>
        <v>17000</v>
      </c>
      <c r="H591" s="451">
        <v>17000</v>
      </c>
      <c r="I591" s="445">
        <f t="shared" si="114"/>
        <v>0</v>
      </c>
      <c r="J591" s="451"/>
      <c r="K591" s="451"/>
      <c r="L591" s="451"/>
      <c r="M591" s="451"/>
      <c r="N591" s="451"/>
      <c r="O591" s="451"/>
      <c r="P591" s="451"/>
      <c r="Q591" s="451"/>
      <c r="R591" s="451"/>
      <c r="S591" s="445">
        <f t="shared" si="115"/>
        <v>0</v>
      </c>
      <c r="T591" s="451"/>
      <c r="U591" s="451"/>
      <c r="V591" s="451"/>
    </row>
    <row r="592" spans="1:22" s="441" customFormat="1" ht="30" customHeight="1" hidden="1">
      <c r="A592" s="572"/>
      <c r="B592" s="572"/>
      <c r="C592" s="589">
        <v>4308</v>
      </c>
      <c r="D592" s="450" t="s">
        <v>283</v>
      </c>
      <c r="E592" s="502">
        <f t="shared" si="111"/>
        <v>0</v>
      </c>
      <c r="F592" s="445">
        <f t="shared" si="112"/>
        <v>0</v>
      </c>
      <c r="G592" s="445">
        <f t="shared" si="113"/>
        <v>0</v>
      </c>
      <c r="H592" s="451"/>
      <c r="I592" s="445">
        <f t="shared" si="114"/>
        <v>0</v>
      </c>
      <c r="J592" s="451"/>
      <c r="K592" s="451"/>
      <c r="L592" s="451"/>
      <c r="M592" s="451"/>
      <c r="N592" s="451"/>
      <c r="O592" s="451"/>
      <c r="P592" s="451"/>
      <c r="Q592" s="451"/>
      <c r="R592" s="451"/>
      <c r="S592" s="445">
        <f t="shared" si="115"/>
        <v>0</v>
      </c>
      <c r="T592" s="451"/>
      <c r="U592" s="451"/>
      <c r="V592" s="451"/>
    </row>
    <row r="593" spans="1:22" s="441" customFormat="1" ht="46.5" customHeight="1">
      <c r="A593" s="572"/>
      <c r="B593" s="572"/>
      <c r="C593" s="589">
        <v>4360</v>
      </c>
      <c r="D593" s="450" t="s">
        <v>245</v>
      </c>
      <c r="E593" s="502">
        <f t="shared" si="111"/>
        <v>1900</v>
      </c>
      <c r="F593" s="445">
        <f t="shared" si="112"/>
        <v>1900</v>
      </c>
      <c r="G593" s="445">
        <f t="shared" si="113"/>
        <v>1900</v>
      </c>
      <c r="H593" s="451">
        <v>1900</v>
      </c>
      <c r="I593" s="445">
        <f t="shared" si="114"/>
        <v>0</v>
      </c>
      <c r="J593" s="451"/>
      <c r="K593" s="451"/>
      <c r="L593" s="451"/>
      <c r="M593" s="451"/>
      <c r="N593" s="451"/>
      <c r="O593" s="451"/>
      <c r="P593" s="451"/>
      <c r="Q593" s="451"/>
      <c r="R593" s="451"/>
      <c r="S593" s="445">
        <f t="shared" si="115"/>
        <v>0</v>
      </c>
      <c r="T593" s="451"/>
      <c r="U593" s="451"/>
      <c r="V593" s="451"/>
    </row>
    <row r="594" spans="1:22" s="441" customFormat="1" ht="60">
      <c r="A594" s="572"/>
      <c r="B594" s="572"/>
      <c r="C594" s="589">
        <v>4370</v>
      </c>
      <c r="D594" s="450" t="s">
        <v>238</v>
      </c>
      <c r="E594" s="502">
        <f t="shared" si="111"/>
        <v>2500</v>
      </c>
      <c r="F594" s="445">
        <f t="shared" si="112"/>
        <v>2500</v>
      </c>
      <c r="G594" s="445">
        <f t="shared" si="113"/>
        <v>2500</v>
      </c>
      <c r="H594" s="451">
        <v>2500</v>
      </c>
      <c r="I594" s="445">
        <f t="shared" si="114"/>
        <v>0</v>
      </c>
      <c r="J594" s="451"/>
      <c r="K594" s="451"/>
      <c r="L594" s="451"/>
      <c r="M594" s="451"/>
      <c r="N594" s="451"/>
      <c r="O594" s="451"/>
      <c r="P594" s="451"/>
      <c r="Q594" s="451"/>
      <c r="R594" s="451"/>
      <c r="S594" s="445">
        <f t="shared" si="115"/>
        <v>0</v>
      </c>
      <c r="T594" s="451"/>
      <c r="U594" s="451"/>
      <c r="V594" s="451"/>
    </row>
    <row r="595" spans="1:22" s="441" customFormat="1" ht="75">
      <c r="A595" s="572"/>
      <c r="B595" s="572"/>
      <c r="C595" s="589">
        <v>4400</v>
      </c>
      <c r="D595" s="450" t="s">
        <v>592</v>
      </c>
      <c r="E595" s="502">
        <f t="shared" si="111"/>
        <v>88400</v>
      </c>
      <c r="F595" s="445">
        <f t="shared" si="112"/>
        <v>88400</v>
      </c>
      <c r="G595" s="445">
        <f t="shared" si="113"/>
        <v>88400</v>
      </c>
      <c r="H595" s="451">
        <v>88400</v>
      </c>
      <c r="I595" s="445">
        <f t="shared" si="114"/>
        <v>0</v>
      </c>
      <c r="J595" s="451"/>
      <c r="K595" s="451"/>
      <c r="L595" s="451"/>
      <c r="M595" s="451"/>
      <c r="N595" s="451"/>
      <c r="O595" s="451"/>
      <c r="P595" s="451"/>
      <c r="Q595" s="451"/>
      <c r="R595" s="451"/>
      <c r="S595" s="445">
        <f t="shared" si="115"/>
        <v>0</v>
      </c>
      <c r="T595" s="451"/>
      <c r="U595" s="451"/>
      <c r="V595" s="451"/>
    </row>
    <row r="596" spans="1:22" s="441" customFormat="1" ht="30">
      <c r="A596" s="572"/>
      <c r="B596" s="572"/>
      <c r="C596" s="589">
        <v>4410</v>
      </c>
      <c r="D596" s="450" t="s">
        <v>115</v>
      </c>
      <c r="E596" s="502">
        <f t="shared" si="111"/>
        <v>500</v>
      </c>
      <c r="F596" s="445">
        <f t="shared" si="112"/>
        <v>500</v>
      </c>
      <c r="G596" s="445">
        <f t="shared" si="113"/>
        <v>500</v>
      </c>
      <c r="H596" s="451">
        <v>500</v>
      </c>
      <c r="I596" s="445">
        <f t="shared" si="114"/>
        <v>0</v>
      </c>
      <c r="J596" s="451"/>
      <c r="K596" s="451"/>
      <c r="L596" s="451"/>
      <c r="M596" s="451"/>
      <c r="N596" s="451"/>
      <c r="O596" s="451"/>
      <c r="P596" s="451"/>
      <c r="Q596" s="451"/>
      <c r="R596" s="451"/>
      <c r="S596" s="445">
        <f t="shared" si="115"/>
        <v>0</v>
      </c>
      <c r="T596" s="451"/>
      <c r="U596" s="451"/>
      <c r="V596" s="451"/>
    </row>
    <row r="597" spans="1:22" s="441" customFormat="1" ht="15.75">
      <c r="A597" s="572"/>
      <c r="B597" s="572"/>
      <c r="C597" s="589">
        <v>4430</v>
      </c>
      <c r="D597" s="450" t="s">
        <v>116</v>
      </c>
      <c r="E597" s="502">
        <f t="shared" si="111"/>
        <v>5855</v>
      </c>
      <c r="F597" s="445">
        <f t="shared" si="112"/>
        <v>5855</v>
      </c>
      <c r="G597" s="445">
        <f t="shared" si="113"/>
        <v>5855</v>
      </c>
      <c r="H597" s="451">
        <v>5855</v>
      </c>
      <c r="I597" s="445">
        <f t="shared" si="114"/>
        <v>0</v>
      </c>
      <c r="J597" s="451"/>
      <c r="K597" s="451"/>
      <c r="L597" s="451"/>
      <c r="M597" s="451"/>
      <c r="N597" s="451"/>
      <c r="O597" s="451"/>
      <c r="P597" s="451"/>
      <c r="Q597" s="451"/>
      <c r="R597" s="451"/>
      <c r="S597" s="445">
        <f t="shared" si="115"/>
        <v>0</v>
      </c>
      <c r="T597" s="451"/>
      <c r="U597" s="451"/>
      <c r="V597" s="451"/>
    </row>
    <row r="598" spans="1:22" s="441" customFormat="1" ht="48" customHeight="1">
      <c r="A598" s="572"/>
      <c r="B598" s="572"/>
      <c r="C598" s="589">
        <v>4440</v>
      </c>
      <c r="D598" s="450" t="s">
        <v>117</v>
      </c>
      <c r="E598" s="502">
        <f t="shared" si="111"/>
        <v>75440</v>
      </c>
      <c r="F598" s="445">
        <f t="shared" si="112"/>
        <v>75440</v>
      </c>
      <c r="G598" s="445">
        <f t="shared" si="113"/>
        <v>75440</v>
      </c>
      <c r="H598" s="451">
        <v>75440</v>
      </c>
      <c r="I598" s="445">
        <f t="shared" si="114"/>
        <v>0</v>
      </c>
      <c r="J598" s="451"/>
      <c r="K598" s="451"/>
      <c r="L598" s="451"/>
      <c r="M598" s="451"/>
      <c r="N598" s="451"/>
      <c r="O598" s="451"/>
      <c r="P598" s="451"/>
      <c r="Q598" s="451"/>
      <c r="R598" s="451"/>
      <c r="S598" s="445">
        <f t="shared" si="115"/>
        <v>0</v>
      </c>
      <c r="T598" s="451"/>
      <c r="U598" s="451"/>
      <c r="V598" s="451"/>
    </row>
    <row r="599" spans="1:22" s="441" customFormat="1" ht="45" customHeight="1">
      <c r="A599" s="572"/>
      <c r="B599" s="572"/>
      <c r="C599" s="589">
        <v>4447</v>
      </c>
      <c r="D599" s="450" t="s">
        <v>117</v>
      </c>
      <c r="E599" s="502">
        <f t="shared" si="111"/>
        <v>4001</v>
      </c>
      <c r="F599" s="445">
        <f t="shared" si="112"/>
        <v>4001</v>
      </c>
      <c r="G599" s="445">
        <f t="shared" si="113"/>
        <v>0</v>
      </c>
      <c r="H599" s="451"/>
      <c r="I599" s="445">
        <f t="shared" si="114"/>
        <v>0</v>
      </c>
      <c r="J599" s="451"/>
      <c r="K599" s="451"/>
      <c r="L599" s="451"/>
      <c r="M599" s="451"/>
      <c r="N599" s="451"/>
      <c r="O599" s="451"/>
      <c r="P599" s="451"/>
      <c r="Q599" s="451"/>
      <c r="R599" s="451">
        <v>4001</v>
      </c>
      <c r="S599" s="445">
        <f t="shared" si="115"/>
        <v>0</v>
      </c>
      <c r="T599" s="451"/>
      <c r="U599" s="451"/>
      <c r="V599" s="451"/>
    </row>
    <row r="600" spans="1:22" s="441" customFormat="1" ht="48" customHeight="1" hidden="1">
      <c r="A600" s="572"/>
      <c r="B600" s="572"/>
      <c r="C600" s="589">
        <v>4448</v>
      </c>
      <c r="D600" s="450" t="s">
        <v>117</v>
      </c>
      <c r="E600" s="502">
        <f t="shared" si="111"/>
        <v>0</v>
      </c>
      <c r="F600" s="445">
        <f t="shared" si="112"/>
        <v>0</v>
      </c>
      <c r="G600" s="445">
        <f t="shared" si="113"/>
        <v>0</v>
      </c>
      <c r="H600" s="451"/>
      <c r="I600" s="445">
        <f t="shared" si="114"/>
        <v>0</v>
      </c>
      <c r="J600" s="451"/>
      <c r="K600" s="451"/>
      <c r="L600" s="451"/>
      <c r="M600" s="451"/>
      <c r="N600" s="451"/>
      <c r="O600" s="451"/>
      <c r="P600" s="451"/>
      <c r="Q600" s="451"/>
      <c r="R600" s="451"/>
      <c r="S600" s="445">
        <f t="shared" si="115"/>
        <v>0</v>
      </c>
      <c r="T600" s="451"/>
      <c r="U600" s="451"/>
      <c r="V600" s="451"/>
    </row>
    <row r="601" spans="1:22" s="441" customFormat="1" ht="30">
      <c r="A601" s="572"/>
      <c r="B601" s="572"/>
      <c r="C601" s="589">
        <v>4480</v>
      </c>
      <c r="D601" s="450" t="s">
        <v>118</v>
      </c>
      <c r="E601" s="502">
        <f t="shared" si="111"/>
        <v>4625</v>
      </c>
      <c r="F601" s="445">
        <f t="shared" si="112"/>
        <v>4625</v>
      </c>
      <c r="G601" s="445">
        <f t="shared" si="113"/>
        <v>4625</v>
      </c>
      <c r="H601" s="451">
        <v>4625</v>
      </c>
      <c r="I601" s="445">
        <f t="shared" si="114"/>
        <v>0</v>
      </c>
      <c r="J601" s="451"/>
      <c r="K601" s="451"/>
      <c r="L601" s="451"/>
      <c r="M601" s="451"/>
      <c r="N601" s="451"/>
      <c r="O601" s="451"/>
      <c r="P601" s="451"/>
      <c r="Q601" s="451"/>
      <c r="R601" s="451"/>
      <c r="S601" s="445">
        <f t="shared" si="115"/>
        <v>0</v>
      </c>
      <c r="T601" s="451"/>
      <c r="U601" s="451"/>
      <c r="V601" s="451"/>
    </row>
    <row r="602" spans="1:22" s="441" customFormat="1" ht="41.25" customHeight="1" hidden="1">
      <c r="A602" s="572"/>
      <c r="B602" s="572"/>
      <c r="C602" s="589">
        <v>4510</v>
      </c>
      <c r="D602" s="450" t="s">
        <v>577</v>
      </c>
      <c r="E602" s="502">
        <f t="shared" si="111"/>
        <v>0</v>
      </c>
      <c r="F602" s="445">
        <f t="shared" si="112"/>
        <v>0</v>
      </c>
      <c r="G602" s="445">
        <f t="shared" si="113"/>
        <v>0</v>
      </c>
      <c r="H602" s="451"/>
      <c r="I602" s="445">
        <f t="shared" si="114"/>
        <v>0</v>
      </c>
      <c r="J602" s="451"/>
      <c r="K602" s="451"/>
      <c r="L602" s="451"/>
      <c r="M602" s="451"/>
      <c r="N602" s="451"/>
      <c r="O602" s="451"/>
      <c r="P602" s="451"/>
      <c r="Q602" s="451"/>
      <c r="R602" s="451"/>
      <c r="S602" s="445">
        <f t="shared" si="115"/>
        <v>0</v>
      </c>
      <c r="T602" s="451"/>
      <c r="U602" s="451"/>
      <c r="V602" s="451"/>
    </row>
    <row r="603" spans="1:22" s="441" customFormat="1" ht="41.25" customHeight="1">
      <c r="A603" s="572"/>
      <c r="B603" s="572"/>
      <c r="C603" s="589">
        <v>4520</v>
      </c>
      <c r="D603" s="450" t="s">
        <v>298</v>
      </c>
      <c r="E603" s="502">
        <f t="shared" si="111"/>
        <v>33</v>
      </c>
      <c r="F603" s="445">
        <f t="shared" si="112"/>
        <v>33</v>
      </c>
      <c r="G603" s="445">
        <f t="shared" si="113"/>
        <v>33</v>
      </c>
      <c r="H603" s="451">
        <v>33</v>
      </c>
      <c r="I603" s="445">
        <f t="shared" si="114"/>
        <v>0</v>
      </c>
      <c r="J603" s="451"/>
      <c r="K603" s="451"/>
      <c r="L603" s="451"/>
      <c r="M603" s="451"/>
      <c r="N603" s="451"/>
      <c r="O603" s="451"/>
      <c r="P603" s="451"/>
      <c r="Q603" s="451"/>
      <c r="R603" s="451"/>
      <c r="S603" s="445">
        <f t="shared" si="115"/>
        <v>0</v>
      </c>
      <c r="T603" s="451"/>
      <c r="U603" s="451"/>
      <c r="V603" s="451"/>
    </row>
    <row r="604" spans="1:22" s="441" customFormat="1" ht="45">
      <c r="A604" s="572"/>
      <c r="B604" s="572"/>
      <c r="C604" s="589">
        <v>4700</v>
      </c>
      <c r="D604" s="450" t="s">
        <v>385</v>
      </c>
      <c r="E604" s="502">
        <f t="shared" si="111"/>
        <v>3000</v>
      </c>
      <c r="F604" s="445">
        <f t="shared" si="112"/>
        <v>3000</v>
      </c>
      <c r="G604" s="445">
        <f t="shared" si="113"/>
        <v>3000</v>
      </c>
      <c r="H604" s="451">
        <v>3000</v>
      </c>
      <c r="I604" s="445">
        <f t="shared" si="114"/>
        <v>0</v>
      </c>
      <c r="J604" s="451"/>
      <c r="K604" s="451"/>
      <c r="L604" s="451"/>
      <c r="M604" s="451"/>
      <c r="N604" s="451"/>
      <c r="O604" s="451"/>
      <c r="P604" s="451"/>
      <c r="Q604" s="451"/>
      <c r="R604" s="451"/>
      <c r="S604" s="445">
        <f t="shared" si="115"/>
        <v>0</v>
      </c>
      <c r="T604" s="451"/>
      <c r="U604" s="451"/>
      <c r="V604" s="451"/>
    </row>
    <row r="605" spans="1:22" s="441" customFormat="1" ht="45">
      <c r="A605" s="572"/>
      <c r="B605" s="572"/>
      <c r="C605" s="589">
        <v>4707</v>
      </c>
      <c r="D605" s="450" t="s">
        <v>385</v>
      </c>
      <c r="E605" s="502">
        <f>F605+S605</f>
        <v>24610</v>
      </c>
      <c r="F605" s="445">
        <f>G605+N605+O605+P605+Q605+R605</f>
        <v>24610</v>
      </c>
      <c r="G605" s="445">
        <f>H605+I605</f>
        <v>0</v>
      </c>
      <c r="H605" s="451"/>
      <c r="I605" s="445">
        <f>SUM(J605:M605)</f>
        <v>0</v>
      </c>
      <c r="J605" s="451"/>
      <c r="K605" s="451"/>
      <c r="L605" s="451"/>
      <c r="M605" s="451"/>
      <c r="N605" s="451"/>
      <c r="O605" s="451"/>
      <c r="P605" s="451"/>
      <c r="Q605" s="451"/>
      <c r="R605" s="451">
        <v>24610</v>
      </c>
      <c r="S605" s="445">
        <f>T605+V605</f>
        <v>0</v>
      </c>
      <c r="T605" s="451"/>
      <c r="U605" s="451"/>
      <c r="V605" s="451"/>
    </row>
    <row r="606" spans="1:22" s="441" customFormat="1" ht="60">
      <c r="A606" s="572"/>
      <c r="B606" s="572"/>
      <c r="C606" s="589">
        <v>4740</v>
      </c>
      <c r="D606" s="450" t="s">
        <v>199</v>
      </c>
      <c r="E606" s="502">
        <f t="shared" si="111"/>
        <v>600</v>
      </c>
      <c r="F606" s="445">
        <f t="shared" si="112"/>
        <v>600</v>
      </c>
      <c r="G606" s="445">
        <f t="shared" si="113"/>
        <v>600</v>
      </c>
      <c r="H606" s="451">
        <v>600</v>
      </c>
      <c r="I606" s="445">
        <f t="shared" si="114"/>
        <v>0</v>
      </c>
      <c r="J606" s="451"/>
      <c r="K606" s="451"/>
      <c r="L606" s="451"/>
      <c r="M606" s="451"/>
      <c r="N606" s="451"/>
      <c r="O606" s="451"/>
      <c r="P606" s="451"/>
      <c r="Q606" s="451"/>
      <c r="R606" s="451"/>
      <c r="S606" s="445">
        <f t="shared" si="115"/>
        <v>0</v>
      </c>
      <c r="T606" s="451"/>
      <c r="U606" s="451"/>
      <c r="V606" s="451"/>
    </row>
    <row r="607" spans="1:22" s="441" customFormat="1" ht="45" customHeight="1">
      <c r="A607" s="572"/>
      <c r="B607" s="572"/>
      <c r="C607" s="589">
        <v>6050</v>
      </c>
      <c r="D607" s="450" t="s">
        <v>605</v>
      </c>
      <c r="E607" s="502">
        <f t="shared" si="111"/>
        <v>11000</v>
      </c>
      <c r="F607" s="445">
        <f t="shared" si="112"/>
        <v>0</v>
      </c>
      <c r="G607" s="445">
        <f t="shared" si="113"/>
        <v>0</v>
      </c>
      <c r="H607" s="451"/>
      <c r="I607" s="445">
        <f t="shared" si="114"/>
        <v>0</v>
      </c>
      <c r="J607" s="451"/>
      <c r="K607" s="451"/>
      <c r="L607" s="451"/>
      <c r="M607" s="451"/>
      <c r="N607" s="451"/>
      <c r="O607" s="451"/>
      <c r="P607" s="451"/>
      <c r="Q607" s="451"/>
      <c r="R607" s="451"/>
      <c r="S607" s="445">
        <f t="shared" si="115"/>
        <v>11000</v>
      </c>
      <c r="T607" s="451">
        <v>11000</v>
      </c>
      <c r="U607" s="451"/>
      <c r="V607" s="451"/>
    </row>
    <row r="608" spans="1:22" s="441" customFormat="1" ht="15.75" customHeight="1" hidden="1">
      <c r="A608" s="572"/>
      <c r="B608" s="430">
        <v>85334</v>
      </c>
      <c r="C608" s="588"/>
      <c r="D608" s="250" t="s">
        <v>421</v>
      </c>
      <c r="E608" s="502">
        <f t="shared" si="111"/>
        <v>0</v>
      </c>
      <c r="F608" s="445">
        <f t="shared" si="112"/>
        <v>0</v>
      </c>
      <c r="G608" s="445">
        <f t="shared" si="113"/>
        <v>0</v>
      </c>
      <c r="H608" s="448">
        <f aca="true" t="shared" si="117" ref="H608:V608">SUM(H609)</f>
        <v>0</v>
      </c>
      <c r="I608" s="445">
        <f t="shared" si="114"/>
        <v>0</v>
      </c>
      <c r="J608" s="448">
        <f>SUM(J609)</f>
        <v>0</v>
      </c>
      <c r="K608" s="448">
        <f t="shared" si="117"/>
        <v>0</v>
      </c>
      <c r="L608" s="448">
        <f t="shared" si="117"/>
        <v>0</v>
      </c>
      <c r="M608" s="448"/>
      <c r="N608" s="448"/>
      <c r="O608" s="448">
        <f t="shared" si="117"/>
        <v>0</v>
      </c>
      <c r="P608" s="448">
        <f t="shared" si="117"/>
        <v>0</v>
      </c>
      <c r="Q608" s="448">
        <f t="shared" si="117"/>
        <v>0</v>
      </c>
      <c r="R608" s="448">
        <f t="shared" si="117"/>
        <v>0</v>
      </c>
      <c r="S608" s="445">
        <f t="shared" si="115"/>
        <v>0</v>
      </c>
      <c r="T608" s="448">
        <f t="shared" si="117"/>
        <v>0</v>
      </c>
      <c r="U608" s="448">
        <f t="shared" si="117"/>
        <v>0</v>
      </c>
      <c r="V608" s="448">
        <f t="shared" si="117"/>
        <v>0</v>
      </c>
    </row>
    <row r="609" spans="1:22" s="441" customFormat="1" ht="15.75" customHeight="1" hidden="1">
      <c r="A609" s="572"/>
      <c r="B609" s="572"/>
      <c r="C609" s="597">
        <v>3110</v>
      </c>
      <c r="D609" s="454" t="s">
        <v>265</v>
      </c>
      <c r="E609" s="502">
        <f t="shared" si="111"/>
        <v>0</v>
      </c>
      <c r="F609" s="445">
        <f t="shared" si="112"/>
        <v>0</v>
      </c>
      <c r="G609" s="445">
        <f t="shared" si="113"/>
        <v>0</v>
      </c>
      <c r="H609" s="451"/>
      <c r="I609" s="445">
        <f t="shared" si="114"/>
        <v>0</v>
      </c>
      <c r="J609" s="451"/>
      <c r="K609" s="451"/>
      <c r="L609" s="451"/>
      <c r="M609" s="451"/>
      <c r="N609" s="451"/>
      <c r="O609" s="451"/>
      <c r="P609" s="451"/>
      <c r="Q609" s="451"/>
      <c r="R609" s="451"/>
      <c r="S609" s="445">
        <f t="shared" si="115"/>
        <v>0</v>
      </c>
      <c r="T609" s="451"/>
      <c r="U609" s="451"/>
      <c r="V609" s="451"/>
    </row>
    <row r="610" spans="1:22" s="441" customFormat="1" ht="15.75">
      <c r="A610" s="572"/>
      <c r="B610" s="579">
        <v>85395</v>
      </c>
      <c r="C610" s="261"/>
      <c r="D610" s="262" t="s">
        <v>277</v>
      </c>
      <c r="E610" s="502">
        <f t="shared" si="111"/>
        <v>3859268</v>
      </c>
      <c r="F610" s="445">
        <f t="shared" si="112"/>
        <v>3844435</v>
      </c>
      <c r="G610" s="445">
        <f t="shared" si="113"/>
        <v>0</v>
      </c>
      <c r="H610" s="451">
        <f>SUM(H611:H667)</f>
        <v>0</v>
      </c>
      <c r="I610" s="445">
        <f t="shared" si="114"/>
        <v>0</v>
      </c>
      <c r="J610" s="451">
        <f>SUM(J611:J667)</f>
        <v>0</v>
      </c>
      <c r="K610" s="451">
        <f aca="true" t="shared" si="118" ref="K610:R610">SUM(K611:K667)</f>
        <v>0</v>
      </c>
      <c r="L610" s="451">
        <f t="shared" si="118"/>
        <v>0</v>
      </c>
      <c r="M610" s="451">
        <f t="shared" si="118"/>
        <v>0</v>
      </c>
      <c r="N610" s="451">
        <f t="shared" si="118"/>
        <v>0</v>
      </c>
      <c r="O610" s="451">
        <f t="shared" si="118"/>
        <v>0</v>
      </c>
      <c r="P610" s="451">
        <f>SUM(P611:P667)</f>
        <v>0</v>
      </c>
      <c r="Q610" s="451">
        <f t="shared" si="118"/>
        <v>0</v>
      </c>
      <c r="R610" s="451">
        <f t="shared" si="118"/>
        <v>3844435</v>
      </c>
      <c r="S610" s="445">
        <f t="shared" si="115"/>
        <v>14833</v>
      </c>
      <c r="T610" s="451">
        <f>SUM(T611:T667)</f>
        <v>14833</v>
      </c>
      <c r="U610" s="451">
        <f>SUM(U611:U667)</f>
        <v>14833</v>
      </c>
      <c r="V610" s="451">
        <f>SUM(V611:V667)</f>
        <v>0</v>
      </c>
    </row>
    <row r="611" spans="1:22" s="441" customFormat="1" ht="75" customHeight="1">
      <c r="A611" s="572"/>
      <c r="B611" s="423"/>
      <c r="C611" s="264">
        <v>2318</v>
      </c>
      <c r="D611" s="263" t="s">
        <v>429</v>
      </c>
      <c r="E611" s="502">
        <f t="shared" si="111"/>
        <v>0</v>
      </c>
      <c r="F611" s="445">
        <f t="shared" si="112"/>
        <v>0</v>
      </c>
      <c r="G611" s="445">
        <f t="shared" si="113"/>
        <v>0</v>
      </c>
      <c r="H611" s="451"/>
      <c r="I611" s="445">
        <f t="shared" si="114"/>
        <v>0</v>
      </c>
      <c r="J611" s="451"/>
      <c r="K611" s="451"/>
      <c r="L611" s="451"/>
      <c r="M611" s="451"/>
      <c r="N611" s="451"/>
      <c r="O611" s="464"/>
      <c r="P611" s="451"/>
      <c r="Q611" s="451"/>
      <c r="R611" s="451"/>
      <c r="S611" s="445">
        <f t="shared" si="115"/>
        <v>0</v>
      </c>
      <c r="T611" s="451"/>
      <c r="U611" s="451"/>
      <c r="V611" s="451"/>
    </row>
    <row r="612" spans="1:22" s="441" customFormat="1" ht="75.75" customHeight="1">
      <c r="A612" s="572"/>
      <c r="B612" s="423"/>
      <c r="C612" s="264">
        <v>2319</v>
      </c>
      <c r="D612" s="263" t="s">
        <v>430</v>
      </c>
      <c r="E612" s="502">
        <f t="shared" si="111"/>
        <v>0</v>
      </c>
      <c r="F612" s="445">
        <f t="shared" si="112"/>
        <v>0</v>
      </c>
      <c r="G612" s="445">
        <f t="shared" si="113"/>
        <v>0</v>
      </c>
      <c r="H612" s="451"/>
      <c r="I612" s="445">
        <f t="shared" si="114"/>
        <v>0</v>
      </c>
      <c r="J612" s="451"/>
      <c r="K612" s="451"/>
      <c r="L612" s="451"/>
      <c r="M612" s="451"/>
      <c r="N612" s="451"/>
      <c r="O612" s="464"/>
      <c r="P612" s="451"/>
      <c r="Q612" s="451"/>
      <c r="R612" s="451"/>
      <c r="S612" s="445">
        <f t="shared" si="115"/>
        <v>0</v>
      </c>
      <c r="T612" s="451"/>
      <c r="U612" s="451"/>
      <c r="V612" s="451"/>
    </row>
    <row r="613" spans="1:22" s="441" customFormat="1" ht="73.5" customHeight="1">
      <c r="A613" s="572"/>
      <c r="B613" s="423"/>
      <c r="C613" s="264">
        <v>2328</v>
      </c>
      <c r="D613" s="263" t="s">
        <v>128</v>
      </c>
      <c r="E613" s="502">
        <f t="shared" si="111"/>
        <v>0</v>
      </c>
      <c r="F613" s="445">
        <f t="shared" si="112"/>
        <v>0</v>
      </c>
      <c r="G613" s="445">
        <f t="shared" si="113"/>
        <v>0</v>
      </c>
      <c r="H613" s="451"/>
      <c r="I613" s="445">
        <f t="shared" si="114"/>
        <v>0</v>
      </c>
      <c r="J613" s="451"/>
      <c r="K613" s="451"/>
      <c r="L613" s="451"/>
      <c r="M613" s="451"/>
      <c r="N613" s="451"/>
      <c r="O613" s="464"/>
      <c r="P613" s="451"/>
      <c r="Q613" s="451"/>
      <c r="R613" s="451"/>
      <c r="S613" s="445">
        <f t="shared" si="115"/>
        <v>0</v>
      </c>
      <c r="T613" s="451"/>
      <c r="U613" s="451"/>
      <c r="V613" s="451"/>
    </row>
    <row r="614" spans="1:22" s="441" customFormat="1" ht="87.75" customHeight="1">
      <c r="A614" s="572"/>
      <c r="B614" s="423"/>
      <c r="C614" s="264">
        <v>2329</v>
      </c>
      <c r="D614" s="263" t="s">
        <v>128</v>
      </c>
      <c r="E614" s="502">
        <f t="shared" si="111"/>
        <v>0</v>
      </c>
      <c r="F614" s="445">
        <f t="shared" si="112"/>
        <v>0</v>
      </c>
      <c r="G614" s="445">
        <f t="shared" si="113"/>
        <v>0</v>
      </c>
      <c r="H614" s="451"/>
      <c r="I614" s="445">
        <f t="shared" si="114"/>
        <v>0</v>
      </c>
      <c r="J614" s="451"/>
      <c r="K614" s="451"/>
      <c r="L614" s="451"/>
      <c r="M614" s="451"/>
      <c r="N614" s="451"/>
      <c r="O614" s="464"/>
      <c r="P614" s="451"/>
      <c r="Q614" s="451"/>
      <c r="R614" s="451"/>
      <c r="S614" s="445">
        <f t="shared" si="115"/>
        <v>0</v>
      </c>
      <c r="T614" s="451"/>
      <c r="U614" s="451"/>
      <c r="V614" s="451"/>
    </row>
    <row r="615" spans="1:22" s="441" customFormat="1" ht="30.75" customHeight="1">
      <c r="A615" s="580"/>
      <c r="B615" s="572"/>
      <c r="C615" s="589">
        <v>3118</v>
      </c>
      <c r="D615" s="450" t="s">
        <v>265</v>
      </c>
      <c r="E615" s="502">
        <f t="shared" si="111"/>
        <v>18455</v>
      </c>
      <c r="F615" s="445">
        <f t="shared" si="112"/>
        <v>18455</v>
      </c>
      <c r="G615" s="445">
        <f t="shared" si="113"/>
        <v>0</v>
      </c>
      <c r="H615" s="451"/>
      <c r="I615" s="445">
        <f t="shared" si="114"/>
        <v>0</v>
      </c>
      <c r="J615" s="451"/>
      <c r="K615" s="451"/>
      <c r="L615" s="451"/>
      <c r="M615" s="451"/>
      <c r="N615" s="451"/>
      <c r="O615" s="451"/>
      <c r="P615" s="451"/>
      <c r="Q615" s="451"/>
      <c r="R615" s="451">
        <v>18455</v>
      </c>
      <c r="S615" s="445">
        <f t="shared" si="115"/>
        <v>0</v>
      </c>
      <c r="T615" s="451"/>
      <c r="U615" s="451"/>
      <c r="V615" s="451"/>
    </row>
    <row r="616" spans="1:22" s="441" customFormat="1" ht="30">
      <c r="A616" s="572"/>
      <c r="B616" s="423"/>
      <c r="C616" s="261">
        <v>4017</v>
      </c>
      <c r="D616" s="263" t="s">
        <v>102</v>
      </c>
      <c r="E616" s="502">
        <f>F616+S616</f>
        <v>132129</v>
      </c>
      <c r="F616" s="445">
        <f>G616+N616+O616+P616+Q616+R616</f>
        <v>132129</v>
      </c>
      <c r="G616" s="445">
        <f>H616+I616</f>
        <v>0</v>
      </c>
      <c r="H616" s="451"/>
      <c r="I616" s="445">
        <f>SUM(J616:M616)</f>
        <v>0</v>
      </c>
      <c r="J616" s="451"/>
      <c r="K616" s="451"/>
      <c r="L616" s="465"/>
      <c r="M616" s="465"/>
      <c r="N616" s="465"/>
      <c r="O616" s="451"/>
      <c r="P616" s="451"/>
      <c r="Q616" s="451"/>
      <c r="R616" s="451">
        <v>132129</v>
      </c>
      <c r="S616" s="445">
        <f>T616+V616</f>
        <v>0</v>
      </c>
      <c r="T616" s="451"/>
      <c r="U616" s="451"/>
      <c r="V616" s="451"/>
    </row>
    <row r="617" spans="1:22" s="441" customFormat="1" ht="30">
      <c r="A617" s="572"/>
      <c r="B617" s="423"/>
      <c r="C617" s="261">
        <v>4018</v>
      </c>
      <c r="D617" s="263" t="s">
        <v>102</v>
      </c>
      <c r="E617" s="502">
        <f t="shared" si="111"/>
        <v>52836</v>
      </c>
      <c r="F617" s="445">
        <f t="shared" si="112"/>
        <v>52836</v>
      </c>
      <c r="G617" s="445">
        <f t="shared" si="113"/>
        <v>0</v>
      </c>
      <c r="H617" s="451"/>
      <c r="I617" s="445">
        <f t="shared" si="114"/>
        <v>0</v>
      </c>
      <c r="J617" s="451"/>
      <c r="K617" s="451"/>
      <c r="L617" s="465"/>
      <c r="M617" s="465"/>
      <c r="N617" s="465"/>
      <c r="O617" s="451"/>
      <c r="P617" s="451"/>
      <c r="Q617" s="451"/>
      <c r="R617" s="451">
        <v>52836</v>
      </c>
      <c r="S617" s="445">
        <f t="shared" si="115"/>
        <v>0</v>
      </c>
      <c r="T617" s="451"/>
      <c r="U617" s="451"/>
      <c r="V617" s="451"/>
    </row>
    <row r="618" spans="1:22" s="441" customFormat="1" ht="30">
      <c r="A618" s="572"/>
      <c r="B618" s="423"/>
      <c r="C618" s="261">
        <v>4019</v>
      </c>
      <c r="D618" s="263" t="s">
        <v>102</v>
      </c>
      <c r="E618" s="502">
        <f t="shared" si="111"/>
        <v>27137</v>
      </c>
      <c r="F618" s="445">
        <f t="shared" si="112"/>
        <v>27137</v>
      </c>
      <c r="G618" s="445">
        <f t="shared" si="113"/>
        <v>0</v>
      </c>
      <c r="H618" s="451"/>
      <c r="I618" s="445">
        <f t="shared" si="114"/>
        <v>0</v>
      </c>
      <c r="J618" s="451"/>
      <c r="K618" s="451"/>
      <c r="L618" s="465"/>
      <c r="M618" s="465"/>
      <c r="N618" s="465"/>
      <c r="O618" s="451"/>
      <c r="P618" s="451"/>
      <c r="Q618" s="451"/>
      <c r="R618" s="451">
        <v>27137</v>
      </c>
      <c r="S618" s="445">
        <f t="shared" si="115"/>
        <v>0</v>
      </c>
      <c r="T618" s="451"/>
      <c r="U618" s="451"/>
      <c r="V618" s="451"/>
    </row>
    <row r="619" spans="1:22" s="441" customFormat="1" ht="30">
      <c r="A619" s="572"/>
      <c r="B619" s="423"/>
      <c r="C619" s="261">
        <v>4048</v>
      </c>
      <c r="D619" s="263" t="s">
        <v>103</v>
      </c>
      <c r="E619" s="502">
        <f>F619+S619</f>
        <v>1243</v>
      </c>
      <c r="F619" s="445">
        <f>G619+N619+O619+P619+Q619+R619</f>
        <v>1243</v>
      </c>
      <c r="G619" s="445">
        <f>H619+I619</f>
        <v>0</v>
      </c>
      <c r="H619" s="451"/>
      <c r="I619" s="445">
        <f>SUM(J619:M619)</f>
        <v>0</v>
      </c>
      <c r="J619" s="451"/>
      <c r="K619" s="451"/>
      <c r="L619" s="465"/>
      <c r="M619" s="465"/>
      <c r="N619" s="465"/>
      <c r="O619" s="451"/>
      <c r="P619" s="451"/>
      <c r="Q619" s="451"/>
      <c r="R619" s="451">
        <v>1243</v>
      </c>
      <c r="S619" s="445">
        <f>T619+V619</f>
        <v>0</v>
      </c>
      <c r="T619" s="451"/>
      <c r="U619" s="451"/>
      <c r="V619" s="451"/>
    </row>
    <row r="620" spans="1:22" s="441" customFormat="1" ht="30">
      <c r="A620" s="572"/>
      <c r="B620" s="423"/>
      <c r="C620" s="261">
        <v>4049</v>
      </c>
      <c r="D620" s="263" t="s">
        <v>103</v>
      </c>
      <c r="E620" s="502">
        <f>F620+S620</f>
        <v>66</v>
      </c>
      <c r="F620" s="445">
        <f>G620+N620+O620+P620+Q620+R620</f>
        <v>66</v>
      </c>
      <c r="G620" s="445">
        <f>H620+I620</f>
        <v>0</v>
      </c>
      <c r="H620" s="451"/>
      <c r="I620" s="445">
        <f>SUM(J620:M620)</f>
        <v>0</v>
      </c>
      <c r="J620" s="451"/>
      <c r="K620" s="451"/>
      <c r="L620" s="465"/>
      <c r="M620" s="465"/>
      <c r="N620" s="465"/>
      <c r="O620" s="451"/>
      <c r="P620" s="451"/>
      <c r="Q620" s="451"/>
      <c r="R620" s="451">
        <v>66</v>
      </c>
      <c r="S620" s="445">
        <f>T620+V620</f>
        <v>0</v>
      </c>
      <c r="T620" s="451"/>
      <c r="U620" s="451"/>
      <c r="V620" s="451"/>
    </row>
    <row r="621" spans="1:22" s="441" customFormat="1" ht="45">
      <c r="A621" s="572"/>
      <c r="B621" s="423"/>
      <c r="C621" s="261">
        <v>4117</v>
      </c>
      <c r="D621" s="263" t="s">
        <v>234</v>
      </c>
      <c r="E621" s="502">
        <f>F621+S621</f>
        <v>37199</v>
      </c>
      <c r="F621" s="445">
        <f>G621+N621+O621+P621+Q621+R621</f>
        <v>37199</v>
      </c>
      <c r="G621" s="445">
        <f>H621+I621</f>
        <v>0</v>
      </c>
      <c r="H621" s="451"/>
      <c r="I621" s="445">
        <f>SUM(J621:M621)</f>
        <v>0</v>
      </c>
      <c r="J621" s="451"/>
      <c r="K621" s="451"/>
      <c r="L621" s="465"/>
      <c r="M621" s="465"/>
      <c r="N621" s="465"/>
      <c r="O621" s="451"/>
      <c r="P621" s="451"/>
      <c r="Q621" s="451"/>
      <c r="R621" s="465">
        <v>37199</v>
      </c>
      <c r="S621" s="445">
        <f>T621+V621</f>
        <v>0</v>
      </c>
      <c r="T621" s="451"/>
      <c r="U621" s="451"/>
      <c r="V621" s="451"/>
    </row>
    <row r="622" spans="1:22" s="441" customFormat="1" ht="45">
      <c r="A622" s="572"/>
      <c r="B622" s="423"/>
      <c r="C622" s="261">
        <v>4118</v>
      </c>
      <c r="D622" s="263" t="s">
        <v>234</v>
      </c>
      <c r="E622" s="502">
        <f t="shared" si="111"/>
        <v>28979</v>
      </c>
      <c r="F622" s="445">
        <f t="shared" si="112"/>
        <v>28979</v>
      </c>
      <c r="G622" s="445">
        <f t="shared" si="113"/>
        <v>0</v>
      </c>
      <c r="H622" s="451"/>
      <c r="I622" s="445">
        <f t="shared" si="114"/>
        <v>0</v>
      </c>
      <c r="J622" s="451"/>
      <c r="K622" s="451"/>
      <c r="L622" s="465"/>
      <c r="M622" s="465"/>
      <c r="N622" s="465"/>
      <c r="O622" s="451"/>
      <c r="P622" s="451"/>
      <c r="Q622" s="451"/>
      <c r="R622" s="465">
        <v>28979</v>
      </c>
      <c r="S622" s="445">
        <f t="shared" si="115"/>
        <v>0</v>
      </c>
      <c r="T622" s="451"/>
      <c r="U622" s="451"/>
      <c r="V622" s="451"/>
    </row>
    <row r="623" spans="1:22" s="441" customFormat="1" ht="45">
      <c r="A623" s="572"/>
      <c r="B623" s="423"/>
      <c r="C623" s="261">
        <v>4119</v>
      </c>
      <c r="D623" s="263" t="s">
        <v>234</v>
      </c>
      <c r="E623" s="502">
        <f t="shared" si="111"/>
        <v>10246</v>
      </c>
      <c r="F623" s="445">
        <f t="shared" si="112"/>
        <v>10246</v>
      </c>
      <c r="G623" s="445">
        <f t="shared" si="113"/>
        <v>0</v>
      </c>
      <c r="H623" s="451"/>
      <c r="I623" s="445">
        <f t="shared" si="114"/>
        <v>0</v>
      </c>
      <c r="J623" s="451"/>
      <c r="K623" s="451"/>
      <c r="L623" s="465"/>
      <c r="M623" s="465"/>
      <c r="N623" s="465"/>
      <c r="O623" s="451"/>
      <c r="P623" s="451"/>
      <c r="Q623" s="451"/>
      <c r="R623" s="465">
        <v>10246</v>
      </c>
      <c r="S623" s="445">
        <f t="shared" si="115"/>
        <v>0</v>
      </c>
      <c r="T623" s="451"/>
      <c r="U623" s="451"/>
      <c r="V623" s="451"/>
    </row>
    <row r="624" spans="1:22" s="441" customFormat="1" ht="30">
      <c r="A624" s="572"/>
      <c r="B624" s="423"/>
      <c r="C624" s="261">
        <v>4127</v>
      </c>
      <c r="D624" s="263" t="s">
        <v>236</v>
      </c>
      <c r="E624" s="502">
        <f>F624+S624</f>
        <v>5237</v>
      </c>
      <c r="F624" s="445">
        <f>G624+N624+O624+P624+Q624+R624</f>
        <v>5237</v>
      </c>
      <c r="G624" s="445">
        <f>H624+I624</f>
        <v>0</v>
      </c>
      <c r="H624" s="451"/>
      <c r="I624" s="445">
        <f>SUM(J624:M624)</f>
        <v>0</v>
      </c>
      <c r="J624" s="451"/>
      <c r="K624" s="451"/>
      <c r="L624" s="465"/>
      <c r="M624" s="465"/>
      <c r="N624" s="465"/>
      <c r="O624" s="451"/>
      <c r="P624" s="451"/>
      <c r="Q624" s="451"/>
      <c r="R624" s="465">
        <v>5237</v>
      </c>
      <c r="S624" s="445">
        <f>T624+V624</f>
        <v>0</v>
      </c>
      <c r="T624" s="451"/>
      <c r="U624" s="451"/>
      <c r="V624" s="451"/>
    </row>
    <row r="625" spans="1:22" s="441" customFormat="1" ht="30">
      <c r="A625" s="572"/>
      <c r="B625" s="423"/>
      <c r="C625" s="261">
        <v>4128</v>
      </c>
      <c r="D625" s="263" t="s">
        <v>236</v>
      </c>
      <c r="E625" s="502">
        <f t="shared" si="111"/>
        <v>4494</v>
      </c>
      <c r="F625" s="445">
        <f t="shared" si="112"/>
        <v>4494</v>
      </c>
      <c r="G625" s="445">
        <f t="shared" si="113"/>
        <v>0</v>
      </c>
      <c r="H625" s="451"/>
      <c r="I625" s="445">
        <f t="shared" si="114"/>
        <v>0</v>
      </c>
      <c r="J625" s="451"/>
      <c r="K625" s="451"/>
      <c r="L625" s="465"/>
      <c r="M625" s="465"/>
      <c r="N625" s="465"/>
      <c r="O625" s="451"/>
      <c r="P625" s="451"/>
      <c r="Q625" s="451"/>
      <c r="R625" s="465">
        <v>4494</v>
      </c>
      <c r="S625" s="445">
        <f t="shared" si="115"/>
        <v>0</v>
      </c>
      <c r="T625" s="451"/>
      <c r="U625" s="451"/>
      <c r="V625" s="451"/>
    </row>
    <row r="626" spans="1:22" s="441" customFormat="1" ht="30">
      <c r="A626" s="572"/>
      <c r="B626" s="423"/>
      <c r="C626" s="261">
        <v>4129</v>
      </c>
      <c r="D626" s="263" t="s">
        <v>236</v>
      </c>
      <c r="E626" s="502">
        <f t="shared" si="111"/>
        <v>1547</v>
      </c>
      <c r="F626" s="445">
        <f t="shared" si="112"/>
        <v>1547</v>
      </c>
      <c r="G626" s="445">
        <f t="shared" si="113"/>
        <v>0</v>
      </c>
      <c r="H626" s="451"/>
      <c r="I626" s="445">
        <f t="shared" si="114"/>
        <v>0</v>
      </c>
      <c r="J626" s="451"/>
      <c r="K626" s="451"/>
      <c r="L626" s="465"/>
      <c r="M626" s="465"/>
      <c r="N626" s="465"/>
      <c r="O626" s="451"/>
      <c r="P626" s="451"/>
      <c r="Q626" s="451"/>
      <c r="R626" s="465">
        <v>1547</v>
      </c>
      <c r="S626" s="445">
        <f t="shared" si="115"/>
        <v>0</v>
      </c>
      <c r="T626" s="451"/>
      <c r="U626" s="451"/>
      <c r="V626" s="451"/>
    </row>
    <row r="627" spans="1:22" s="441" customFormat="1" ht="30" customHeight="1">
      <c r="A627" s="572"/>
      <c r="B627" s="423"/>
      <c r="C627" s="261">
        <v>4177</v>
      </c>
      <c r="D627" s="263" t="s">
        <v>196</v>
      </c>
      <c r="E627" s="502">
        <f>F627+S627</f>
        <v>464579</v>
      </c>
      <c r="F627" s="445">
        <f>G627+N627+O627+P627+Q627+R627</f>
        <v>464579</v>
      </c>
      <c r="G627" s="445">
        <f>H627+I627</f>
        <v>0</v>
      </c>
      <c r="H627" s="451"/>
      <c r="I627" s="445">
        <f>SUM(J627:M627)</f>
        <v>0</v>
      </c>
      <c r="J627" s="451"/>
      <c r="K627" s="451"/>
      <c r="L627" s="451"/>
      <c r="M627" s="451"/>
      <c r="N627" s="451"/>
      <c r="O627" s="451"/>
      <c r="P627" s="451"/>
      <c r="Q627" s="451"/>
      <c r="R627" s="465">
        <v>464579</v>
      </c>
      <c r="S627" s="445">
        <f>T627+V627</f>
        <v>0</v>
      </c>
      <c r="T627" s="451"/>
      <c r="U627" s="451"/>
      <c r="V627" s="451"/>
    </row>
    <row r="628" spans="1:22" s="441" customFormat="1" ht="30" customHeight="1">
      <c r="A628" s="572"/>
      <c r="B628" s="423"/>
      <c r="C628" s="261">
        <v>4178</v>
      </c>
      <c r="D628" s="263" t="s">
        <v>196</v>
      </c>
      <c r="E628" s="502">
        <f t="shared" si="111"/>
        <v>1119035</v>
      </c>
      <c r="F628" s="445">
        <f t="shared" si="112"/>
        <v>1119035</v>
      </c>
      <c r="G628" s="445">
        <f t="shared" si="113"/>
        <v>0</v>
      </c>
      <c r="H628" s="451"/>
      <c r="I628" s="445">
        <f t="shared" si="114"/>
        <v>0</v>
      </c>
      <c r="J628" s="451"/>
      <c r="K628" s="451"/>
      <c r="L628" s="451"/>
      <c r="M628" s="451"/>
      <c r="N628" s="451"/>
      <c r="O628" s="451"/>
      <c r="P628" s="451"/>
      <c r="Q628" s="451"/>
      <c r="R628" s="465">
        <v>1119035</v>
      </c>
      <c r="S628" s="445">
        <f t="shared" si="115"/>
        <v>0</v>
      </c>
      <c r="T628" s="451"/>
      <c r="U628" s="451"/>
      <c r="V628" s="451"/>
    </row>
    <row r="629" spans="1:22" s="441" customFormat="1" ht="27.75" customHeight="1">
      <c r="A629" s="572"/>
      <c r="B629" s="423"/>
      <c r="C629" s="261">
        <v>4179</v>
      </c>
      <c r="D629" s="263" t="s">
        <v>196</v>
      </c>
      <c r="E629" s="502">
        <f t="shared" si="111"/>
        <v>261598</v>
      </c>
      <c r="F629" s="445">
        <f t="shared" si="112"/>
        <v>261598</v>
      </c>
      <c r="G629" s="445">
        <f t="shared" si="113"/>
        <v>0</v>
      </c>
      <c r="H629" s="451"/>
      <c r="I629" s="445">
        <f t="shared" si="114"/>
        <v>0</v>
      </c>
      <c r="J629" s="451"/>
      <c r="K629" s="451"/>
      <c r="L629" s="451"/>
      <c r="M629" s="451"/>
      <c r="N629" s="451"/>
      <c r="O629" s="451"/>
      <c r="P629" s="451"/>
      <c r="Q629" s="451"/>
      <c r="R629" s="465">
        <v>261598</v>
      </c>
      <c r="S629" s="445">
        <f t="shared" si="115"/>
        <v>0</v>
      </c>
      <c r="T629" s="451"/>
      <c r="U629" s="451"/>
      <c r="V629" s="451"/>
    </row>
    <row r="630" spans="1:22" s="441" customFormat="1" ht="30">
      <c r="A630" s="572"/>
      <c r="B630" s="423"/>
      <c r="C630" s="261">
        <v>4217</v>
      </c>
      <c r="D630" s="263" t="s">
        <v>107</v>
      </c>
      <c r="E630" s="502">
        <f>F630+S630</f>
        <v>596018</v>
      </c>
      <c r="F630" s="445">
        <f>G630+N630+O630+P630+Q630+R630</f>
        <v>596018</v>
      </c>
      <c r="G630" s="445">
        <f>H630+I630</f>
        <v>0</v>
      </c>
      <c r="H630" s="451"/>
      <c r="I630" s="445">
        <f>SUM(J630:M630)</f>
        <v>0</v>
      </c>
      <c r="J630" s="451"/>
      <c r="K630" s="451"/>
      <c r="L630" s="451"/>
      <c r="M630" s="451"/>
      <c r="N630" s="451"/>
      <c r="O630" s="451"/>
      <c r="P630" s="451"/>
      <c r="Q630" s="451"/>
      <c r="R630" s="465">
        <v>596018</v>
      </c>
      <c r="S630" s="445">
        <f>T630+V630</f>
        <v>0</v>
      </c>
      <c r="T630" s="451"/>
      <c r="U630" s="451"/>
      <c r="V630" s="451"/>
    </row>
    <row r="631" spans="1:22" s="441" customFormat="1" ht="30">
      <c r="A631" s="572"/>
      <c r="B631" s="423"/>
      <c r="C631" s="261">
        <v>4218</v>
      </c>
      <c r="D631" s="263" t="s">
        <v>107</v>
      </c>
      <c r="E631" s="502">
        <f aca="true" t="shared" si="119" ref="E631:E705">F631+S631</f>
        <v>98707</v>
      </c>
      <c r="F631" s="445">
        <f t="shared" si="112"/>
        <v>98707</v>
      </c>
      <c r="G631" s="445">
        <f t="shared" si="113"/>
        <v>0</v>
      </c>
      <c r="H631" s="451"/>
      <c r="I631" s="445">
        <f t="shared" si="114"/>
        <v>0</v>
      </c>
      <c r="J631" s="451"/>
      <c r="K631" s="451"/>
      <c r="L631" s="451"/>
      <c r="M631" s="451"/>
      <c r="N631" s="451"/>
      <c r="O631" s="451"/>
      <c r="P631" s="451"/>
      <c r="Q631" s="451"/>
      <c r="R631" s="465">
        <v>98707</v>
      </c>
      <c r="S631" s="445">
        <f t="shared" si="115"/>
        <v>0</v>
      </c>
      <c r="T631" s="451"/>
      <c r="U631" s="451"/>
      <c r="V631" s="451"/>
    </row>
    <row r="632" spans="1:22" s="441" customFormat="1" ht="30">
      <c r="A632" s="572"/>
      <c r="B632" s="423"/>
      <c r="C632" s="261">
        <v>4219</v>
      </c>
      <c r="D632" s="263" t="s">
        <v>107</v>
      </c>
      <c r="E632" s="502">
        <f t="shared" si="119"/>
        <v>108900</v>
      </c>
      <c r="F632" s="445">
        <f aca="true" t="shared" si="120" ref="F632:F706">G632+N632+O632+P632+Q632+R632</f>
        <v>108900</v>
      </c>
      <c r="G632" s="445">
        <f aca="true" t="shared" si="121" ref="G632:G706">H632+I632</f>
        <v>0</v>
      </c>
      <c r="H632" s="451"/>
      <c r="I632" s="445">
        <f aca="true" t="shared" si="122" ref="I632:I706">SUM(J632:M632)</f>
        <v>0</v>
      </c>
      <c r="J632" s="451"/>
      <c r="K632" s="451"/>
      <c r="L632" s="451"/>
      <c r="M632" s="451"/>
      <c r="N632" s="451"/>
      <c r="O632" s="451"/>
      <c r="P632" s="451"/>
      <c r="Q632" s="451"/>
      <c r="R632" s="465">
        <v>108900</v>
      </c>
      <c r="S632" s="445">
        <f aca="true" t="shared" si="123" ref="S632:S706">T632+V632</f>
        <v>0</v>
      </c>
      <c r="T632" s="451"/>
      <c r="U632" s="451"/>
      <c r="V632" s="451"/>
    </row>
    <row r="633" spans="1:22" s="441" customFormat="1" ht="45">
      <c r="A633" s="572"/>
      <c r="B633" s="423"/>
      <c r="C633" s="261">
        <v>4247</v>
      </c>
      <c r="D633" s="263" t="s">
        <v>244</v>
      </c>
      <c r="E633" s="502">
        <f>F633+S633</f>
        <v>55018</v>
      </c>
      <c r="F633" s="445">
        <f>G633+N633+O633+P633+Q633+R633</f>
        <v>55018</v>
      </c>
      <c r="G633" s="445">
        <f>H633+I633</f>
        <v>0</v>
      </c>
      <c r="H633" s="451"/>
      <c r="I633" s="445">
        <f>SUM(J633:M633)</f>
        <v>0</v>
      </c>
      <c r="J633" s="451"/>
      <c r="K633" s="451"/>
      <c r="L633" s="451"/>
      <c r="M633" s="451"/>
      <c r="N633" s="451"/>
      <c r="O633" s="451"/>
      <c r="P633" s="451"/>
      <c r="Q633" s="451"/>
      <c r="R633" s="465">
        <v>55018</v>
      </c>
      <c r="S633" s="445">
        <f>T633+V633</f>
        <v>0</v>
      </c>
      <c r="T633" s="451"/>
      <c r="U633" s="451"/>
      <c r="V633" s="451"/>
    </row>
    <row r="634" spans="1:22" s="441" customFormat="1" ht="45">
      <c r="A634" s="572"/>
      <c r="B634" s="423"/>
      <c r="C634" s="261">
        <v>4248</v>
      </c>
      <c r="D634" s="263" t="s">
        <v>244</v>
      </c>
      <c r="E634" s="502">
        <f t="shared" si="119"/>
        <v>49363</v>
      </c>
      <c r="F634" s="445">
        <f t="shared" si="120"/>
        <v>49363</v>
      </c>
      <c r="G634" s="445">
        <f t="shared" si="121"/>
        <v>0</v>
      </c>
      <c r="H634" s="451"/>
      <c r="I634" s="445">
        <f t="shared" si="122"/>
        <v>0</v>
      </c>
      <c r="J634" s="451"/>
      <c r="K634" s="451"/>
      <c r="L634" s="451"/>
      <c r="M634" s="451"/>
      <c r="N634" s="451"/>
      <c r="O634" s="451"/>
      <c r="P634" s="451"/>
      <c r="Q634" s="451"/>
      <c r="R634" s="465">
        <v>49363</v>
      </c>
      <c r="S634" s="445">
        <f t="shared" si="123"/>
        <v>0</v>
      </c>
      <c r="T634" s="451"/>
      <c r="U634" s="451"/>
      <c r="V634" s="451"/>
    </row>
    <row r="635" spans="1:22" s="441" customFormat="1" ht="45">
      <c r="A635" s="572"/>
      <c r="B635" s="348"/>
      <c r="C635" s="261">
        <v>4248</v>
      </c>
      <c r="D635" s="263" t="s">
        <v>244</v>
      </c>
      <c r="E635" s="502">
        <f t="shared" si="119"/>
        <v>10768</v>
      </c>
      <c r="F635" s="445">
        <f t="shared" si="120"/>
        <v>10768</v>
      </c>
      <c r="G635" s="445">
        <f t="shared" si="121"/>
        <v>0</v>
      </c>
      <c r="H635" s="451"/>
      <c r="I635" s="445">
        <f t="shared" si="122"/>
        <v>0</v>
      </c>
      <c r="J635" s="451"/>
      <c r="K635" s="451"/>
      <c r="L635" s="451"/>
      <c r="M635" s="451"/>
      <c r="N635" s="451"/>
      <c r="O635" s="451"/>
      <c r="P635" s="451"/>
      <c r="Q635" s="451"/>
      <c r="R635" s="465">
        <v>10768</v>
      </c>
      <c r="S635" s="445">
        <f t="shared" si="123"/>
        <v>0</v>
      </c>
      <c r="T635" s="451"/>
      <c r="U635" s="451"/>
      <c r="V635" s="451"/>
    </row>
    <row r="636" spans="1:22" s="441" customFormat="1" ht="15.75">
      <c r="A636" s="572"/>
      <c r="B636" s="572"/>
      <c r="C636" s="589">
        <v>4268</v>
      </c>
      <c r="D636" s="450" t="s">
        <v>108</v>
      </c>
      <c r="E636" s="502">
        <f t="shared" si="119"/>
        <v>0</v>
      </c>
      <c r="F636" s="445">
        <f t="shared" si="120"/>
        <v>0</v>
      </c>
      <c r="G636" s="445">
        <f t="shared" si="121"/>
        <v>0</v>
      </c>
      <c r="H636" s="451"/>
      <c r="I636" s="445">
        <f t="shared" si="122"/>
        <v>0</v>
      </c>
      <c r="J636" s="451"/>
      <c r="K636" s="451"/>
      <c r="L636" s="451"/>
      <c r="M636" s="451"/>
      <c r="N636" s="451"/>
      <c r="O636" s="451"/>
      <c r="P636" s="451"/>
      <c r="Q636" s="451"/>
      <c r="R636" s="451"/>
      <c r="S636" s="445">
        <f t="shared" si="123"/>
        <v>0</v>
      </c>
      <c r="T636" s="451"/>
      <c r="U636" s="451"/>
      <c r="V636" s="451"/>
    </row>
    <row r="637" spans="1:22" s="441" customFormat="1" ht="15.75">
      <c r="A637" s="572"/>
      <c r="B637" s="572"/>
      <c r="C637" s="589">
        <v>4269</v>
      </c>
      <c r="D637" s="450" t="s">
        <v>108</v>
      </c>
      <c r="E637" s="502">
        <f t="shared" si="119"/>
        <v>0</v>
      </c>
      <c r="F637" s="445">
        <f t="shared" si="120"/>
        <v>0</v>
      </c>
      <c r="G637" s="445">
        <f t="shared" si="121"/>
        <v>0</v>
      </c>
      <c r="H637" s="451"/>
      <c r="I637" s="445">
        <f t="shared" si="122"/>
        <v>0</v>
      </c>
      <c r="J637" s="451"/>
      <c r="K637" s="451"/>
      <c r="L637" s="451"/>
      <c r="M637" s="451"/>
      <c r="N637" s="451"/>
      <c r="O637" s="451"/>
      <c r="P637" s="451"/>
      <c r="Q637" s="451"/>
      <c r="R637" s="451"/>
      <c r="S637" s="445">
        <f t="shared" si="123"/>
        <v>0</v>
      </c>
      <c r="T637" s="451"/>
      <c r="U637" s="451"/>
      <c r="V637" s="451"/>
    </row>
    <row r="638" spans="1:22" s="441" customFormat="1" ht="15.75">
      <c r="A638" s="572"/>
      <c r="B638" s="423"/>
      <c r="C638" s="261">
        <v>4277</v>
      </c>
      <c r="D638" s="263" t="s">
        <v>197</v>
      </c>
      <c r="E638" s="502">
        <f>F638+S638</f>
        <v>104</v>
      </c>
      <c r="F638" s="445">
        <f>G638+N638+O638+P638+Q638+R638</f>
        <v>104</v>
      </c>
      <c r="G638" s="445">
        <f>H638+I638</f>
        <v>0</v>
      </c>
      <c r="H638" s="451"/>
      <c r="I638" s="445">
        <f>SUM(J638:M638)</f>
        <v>0</v>
      </c>
      <c r="J638" s="451"/>
      <c r="K638" s="451"/>
      <c r="L638" s="451"/>
      <c r="M638" s="451"/>
      <c r="N638" s="451"/>
      <c r="O638" s="451"/>
      <c r="P638" s="451"/>
      <c r="Q638" s="451"/>
      <c r="R638" s="465">
        <v>104</v>
      </c>
      <c r="S638" s="445">
        <f>T638+V638</f>
        <v>0</v>
      </c>
      <c r="T638" s="451"/>
      <c r="U638" s="451"/>
      <c r="V638" s="451"/>
    </row>
    <row r="639" spans="1:22" s="441" customFormat="1" ht="15.75">
      <c r="A639" s="572"/>
      <c r="B639" s="423"/>
      <c r="C639" s="261">
        <v>4279</v>
      </c>
      <c r="D639" s="263" t="s">
        <v>197</v>
      </c>
      <c r="E639" s="502">
        <f>F639+S639</f>
        <v>6</v>
      </c>
      <c r="F639" s="445">
        <f>G639+N639+O639+P639+Q639+R639</f>
        <v>6</v>
      </c>
      <c r="G639" s="445">
        <f>H639+I639</f>
        <v>0</v>
      </c>
      <c r="H639" s="451"/>
      <c r="I639" s="445">
        <f>SUM(J639:M639)</f>
        <v>0</v>
      </c>
      <c r="J639" s="451"/>
      <c r="K639" s="451"/>
      <c r="L639" s="451"/>
      <c r="M639" s="451"/>
      <c r="N639" s="451"/>
      <c r="O639" s="451"/>
      <c r="P639" s="451"/>
      <c r="Q639" s="451"/>
      <c r="R639" s="465">
        <v>6</v>
      </c>
      <c r="S639" s="445">
        <f>T639+V639</f>
        <v>0</v>
      </c>
      <c r="T639" s="451"/>
      <c r="U639" s="451"/>
      <c r="V639" s="451"/>
    </row>
    <row r="640" spans="1:22" s="441" customFormat="1" ht="15.75">
      <c r="A640" s="572"/>
      <c r="B640" s="423"/>
      <c r="C640" s="261"/>
      <c r="D640" s="263"/>
      <c r="E640" s="502"/>
      <c r="F640" s="445"/>
      <c r="G640" s="445"/>
      <c r="H640" s="451"/>
      <c r="I640" s="445"/>
      <c r="J640" s="451"/>
      <c r="K640" s="451"/>
      <c r="L640" s="451"/>
      <c r="M640" s="451"/>
      <c r="N640" s="451"/>
      <c r="O640" s="451"/>
      <c r="P640" s="451"/>
      <c r="Q640" s="451"/>
      <c r="R640" s="465"/>
      <c r="S640" s="445"/>
      <c r="T640" s="451"/>
      <c r="U640" s="451"/>
      <c r="V640" s="451"/>
    </row>
    <row r="641" spans="1:22" s="441" customFormat="1" ht="15.75">
      <c r="A641" s="572"/>
      <c r="B641" s="423"/>
      <c r="C641" s="261"/>
      <c r="D641" s="263"/>
      <c r="E641" s="502"/>
      <c r="F641" s="445"/>
      <c r="G641" s="445"/>
      <c r="H641" s="451"/>
      <c r="I641" s="445"/>
      <c r="J641" s="451"/>
      <c r="K641" s="451"/>
      <c r="L641" s="451"/>
      <c r="M641" s="451"/>
      <c r="N641" s="451"/>
      <c r="O641" s="451"/>
      <c r="P641" s="451"/>
      <c r="Q641" s="451"/>
      <c r="R641" s="465"/>
      <c r="S641" s="445"/>
      <c r="T641" s="451"/>
      <c r="U641" s="451"/>
      <c r="V641" s="451"/>
    </row>
    <row r="642" spans="1:22" s="441" customFormat="1" ht="30">
      <c r="A642" s="572"/>
      <c r="B642" s="423"/>
      <c r="C642" s="261">
        <v>4307</v>
      </c>
      <c r="D642" s="263" t="s">
        <v>90</v>
      </c>
      <c r="E642" s="502">
        <f>F642+S642</f>
        <v>406440</v>
      </c>
      <c r="F642" s="445">
        <f>G642+N642+O642+P642+Q642+R642</f>
        <v>406440</v>
      </c>
      <c r="G642" s="445">
        <f>H642+I642</f>
        <v>0</v>
      </c>
      <c r="H642" s="451"/>
      <c r="I642" s="445">
        <f>SUM(J642:M642)</f>
        <v>0</v>
      </c>
      <c r="J642" s="451"/>
      <c r="K642" s="451"/>
      <c r="L642" s="451"/>
      <c r="M642" s="451"/>
      <c r="N642" s="451"/>
      <c r="O642" s="451"/>
      <c r="P642" s="451"/>
      <c r="Q642" s="451"/>
      <c r="R642" s="465">
        <v>406440</v>
      </c>
      <c r="S642" s="445">
        <f>T642+V642</f>
        <v>0</v>
      </c>
      <c r="T642" s="451"/>
      <c r="U642" s="451"/>
      <c r="V642" s="451"/>
    </row>
    <row r="643" spans="1:22" s="441" customFormat="1" ht="30">
      <c r="A643" s="572"/>
      <c r="B643" s="423"/>
      <c r="C643" s="261">
        <v>4308</v>
      </c>
      <c r="D643" s="263" t="s">
        <v>90</v>
      </c>
      <c r="E643" s="502">
        <f t="shared" si="119"/>
        <v>123867</v>
      </c>
      <c r="F643" s="445">
        <f t="shared" si="120"/>
        <v>123867</v>
      </c>
      <c r="G643" s="445">
        <f t="shared" si="121"/>
        <v>0</v>
      </c>
      <c r="H643" s="451"/>
      <c r="I643" s="445">
        <f t="shared" si="122"/>
        <v>0</v>
      </c>
      <c r="J643" s="451"/>
      <c r="K643" s="451"/>
      <c r="L643" s="451"/>
      <c r="M643" s="451"/>
      <c r="N643" s="451"/>
      <c r="O643" s="451"/>
      <c r="P643" s="451"/>
      <c r="Q643" s="451"/>
      <c r="R643" s="465">
        <v>123867</v>
      </c>
      <c r="S643" s="445">
        <f t="shared" si="123"/>
        <v>0</v>
      </c>
      <c r="T643" s="451"/>
      <c r="U643" s="451"/>
      <c r="V643" s="451"/>
    </row>
    <row r="644" spans="1:22" s="441" customFormat="1" ht="30">
      <c r="A644" s="572"/>
      <c r="B644" s="423"/>
      <c r="C644" s="261">
        <v>4309</v>
      </c>
      <c r="D644" s="263" t="s">
        <v>90</v>
      </c>
      <c r="E644" s="502">
        <f t="shared" si="119"/>
        <v>72155</v>
      </c>
      <c r="F644" s="445">
        <f t="shared" si="120"/>
        <v>72155</v>
      </c>
      <c r="G644" s="445">
        <f t="shared" si="121"/>
        <v>0</v>
      </c>
      <c r="H644" s="451"/>
      <c r="I644" s="445">
        <f t="shared" si="122"/>
        <v>0</v>
      </c>
      <c r="J644" s="451"/>
      <c r="K644" s="451"/>
      <c r="L644" s="451"/>
      <c r="M644" s="451"/>
      <c r="N644" s="451"/>
      <c r="O644" s="451"/>
      <c r="P644" s="451"/>
      <c r="Q644" s="451"/>
      <c r="R644" s="465">
        <v>72155</v>
      </c>
      <c r="S644" s="445">
        <f t="shared" si="123"/>
        <v>0</v>
      </c>
      <c r="T644" s="451"/>
      <c r="U644" s="451"/>
      <c r="V644" s="451"/>
    </row>
    <row r="645" spans="1:22" s="441" customFormat="1" ht="30">
      <c r="A645" s="572"/>
      <c r="B645" s="423"/>
      <c r="C645" s="594">
        <v>4358</v>
      </c>
      <c r="D645" s="458" t="s">
        <v>111</v>
      </c>
      <c r="E645" s="502">
        <f t="shared" si="119"/>
        <v>308</v>
      </c>
      <c r="F645" s="445">
        <f t="shared" si="120"/>
        <v>308</v>
      </c>
      <c r="G645" s="445">
        <f t="shared" si="121"/>
        <v>0</v>
      </c>
      <c r="H645" s="451"/>
      <c r="I645" s="445">
        <f t="shared" si="122"/>
        <v>0</v>
      </c>
      <c r="J645" s="451"/>
      <c r="K645" s="451"/>
      <c r="L645" s="451"/>
      <c r="M645" s="451"/>
      <c r="N645" s="451"/>
      <c r="O645" s="451"/>
      <c r="P645" s="451"/>
      <c r="Q645" s="451"/>
      <c r="R645" s="462">
        <v>308</v>
      </c>
      <c r="S645" s="445">
        <f t="shared" si="123"/>
        <v>0</v>
      </c>
      <c r="T645" s="451"/>
      <c r="U645" s="451"/>
      <c r="V645" s="451"/>
    </row>
    <row r="646" spans="1:22" s="441" customFormat="1" ht="30">
      <c r="A646" s="572"/>
      <c r="B646" s="423"/>
      <c r="C646" s="594">
        <v>4359</v>
      </c>
      <c r="D646" s="458" t="s">
        <v>111</v>
      </c>
      <c r="E646" s="502">
        <f t="shared" si="119"/>
        <v>54</v>
      </c>
      <c r="F646" s="445">
        <f t="shared" si="120"/>
        <v>54</v>
      </c>
      <c r="G646" s="445">
        <f t="shared" si="121"/>
        <v>0</v>
      </c>
      <c r="H646" s="451"/>
      <c r="I646" s="445">
        <f t="shared" si="122"/>
        <v>0</v>
      </c>
      <c r="J646" s="451"/>
      <c r="K646" s="451"/>
      <c r="L646" s="451"/>
      <c r="M646" s="451"/>
      <c r="N646" s="451"/>
      <c r="O646" s="451"/>
      <c r="P646" s="451"/>
      <c r="Q646" s="451"/>
      <c r="R646" s="462">
        <v>54</v>
      </c>
      <c r="S646" s="445">
        <f t="shared" si="123"/>
        <v>0</v>
      </c>
      <c r="T646" s="451"/>
      <c r="U646" s="451"/>
      <c r="V646" s="451"/>
    </row>
    <row r="647" spans="1:22" s="441" customFormat="1" ht="60">
      <c r="A647" s="572"/>
      <c r="B647" s="423"/>
      <c r="C647" s="594">
        <v>4367</v>
      </c>
      <c r="D647" s="458" t="s">
        <v>245</v>
      </c>
      <c r="E647" s="502">
        <f>F647+S647</f>
        <v>2083</v>
      </c>
      <c r="F647" s="445">
        <f>G647+N647+O647+P647+Q647+R647</f>
        <v>2083</v>
      </c>
      <c r="G647" s="445">
        <f>H647+I647</f>
        <v>0</v>
      </c>
      <c r="H647" s="451"/>
      <c r="I647" s="445">
        <f>SUM(J647:M647)</f>
        <v>0</v>
      </c>
      <c r="J647" s="451"/>
      <c r="K647" s="451"/>
      <c r="L647" s="451"/>
      <c r="M647" s="451"/>
      <c r="N647" s="451"/>
      <c r="O647" s="451"/>
      <c r="P647" s="451"/>
      <c r="Q647" s="451"/>
      <c r="R647" s="466">
        <v>2083</v>
      </c>
      <c r="S647" s="445">
        <f>T647+V647</f>
        <v>0</v>
      </c>
      <c r="T647" s="451"/>
      <c r="U647" s="451"/>
      <c r="V647" s="451"/>
    </row>
    <row r="648" spans="1:22" s="441" customFormat="1" ht="60">
      <c r="A648" s="572"/>
      <c r="B648" s="423"/>
      <c r="C648" s="594">
        <v>4368</v>
      </c>
      <c r="D648" s="458" t="s">
        <v>245</v>
      </c>
      <c r="E648" s="502">
        <f t="shared" si="119"/>
        <v>1388</v>
      </c>
      <c r="F648" s="445">
        <f t="shared" si="120"/>
        <v>1388</v>
      </c>
      <c r="G648" s="445">
        <f t="shared" si="121"/>
        <v>0</v>
      </c>
      <c r="H648" s="451"/>
      <c r="I648" s="445">
        <f t="shared" si="122"/>
        <v>0</v>
      </c>
      <c r="J648" s="451"/>
      <c r="K648" s="451"/>
      <c r="L648" s="451"/>
      <c r="M648" s="451"/>
      <c r="N648" s="451"/>
      <c r="O648" s="451"/>
      <c r="P648" s="451"/>
      <c r="Q648" s="451"/>
      <c r="R648" s="466">
        <v>1388</v>
      </c>
      <c r="S648" s="445">
        <f t="shared" si="123"/>
        <v>0</v>
      </c>
      <c r="T648" s="451"/>
      <c r="U648" s="451"/>
      <c r="V648" s="451"/>
    </row>
    <row r="649" spans="1:22" s="441" customFormat="1" ht="60">
      <c r="A649" s="572"/>
      <c r="B649" s="423"/>
      <c r="C649" s="594">
        <v>4369</v>
      </c>
      <c r="D649" s="458" t="s">
        <v>245</v>
      </c>
      <c r="E649" s="502">
        <f t="shared" si="119"/>
        <v>612</v>
      </c>
      <c r="F649" s="445">
        <f t="shared" si="120"/>
        <v>612</v>
      </c>
      <c r="G649" s="445">
        <f t="shared" si="121"/>
        <v>0</v>
      </c>
      <c r="H649" s="451"/>
      <c r="I649" s="445">
        <f t="shared" si="122"/>
        <v>0</v>
      </c>
      <c r="J649" s="451"/>
      <c r="K649" s="451"/>
      <c r="L649" s="451"/>
      <c r="M649" s="451"/>
      <c r="N649" s="451"/>
      <c r="O649" s="451"/>
      <c r="P649" s="451"/>
      <c r="Q649" s="451"/>
      <c r="R649" s="466">
        <v>612</v>
      </c>
      <c r="S649" s="445">
        <f t="shared" si="123"/>
        <v>0</v>
      </c>
      <c r="T649" s="451"/>
      <c r="U649" s="451"/>
      <c r="V649" s="451"/>
    </row>
    <row r="650" spans="1:22" s="441" customFormat="1" ht="60">
      <c r="A650" s="572"/>
      <c r="B650" s="423"/>
      <c r="C650" s="594">
        <v>4377</v>
      </c>
      <c r="D650" s="458" t="s">
        <v>238</v>
      </c>
      <c r="E650" s="502">
        <f>F650+S650</f>
        <v>892</v>
      </c>
      <c r="F650" s="445">
        <f>G650+N650+O650+P650+Q650+R650</f>
        <v>892</v>
      </c>
      <c r="G650" s="445">
        <f>H650+I650</f>
        <v>0</v>
      </c>
      <c r="H650" s="451"/>
      <c r="I650" s="445">
        <f>SUM(J650:M650)</f>
        <v>0</v>
      </c>
      <c r="J650" s="451"/>
      <c r="K650" s="451"/>
      <c r="L650" s="451"/>
      <c r="M650" s="451"/>
      <c r="N650" s="451"/>
      <c r="O650" s="451"/>
      <c r="P650" s="451"/>
      <c r="Q650" s="451"/>
      <c r="R650" s="466">
        <v>892</v>
      </c>
      <c r="S650" s="445">
        <f>T650+V650</f>
        <v>0</v>
      </c>
      <c r="T650" s="451"/>
      <c r="U650" s="451"/>
      <c r="V650" s="451"/>
    </row>
    <row r="651" spans="1:22" s="441" customFormat="1" ht="60">
      <c r="A651" s="572"/>
      <c r="B651" s="423"/>
      <c r="C651" s="594">
        <v>4378</v>
      </c>
      <c r="D651" s="458" t="s">
        <v>238</v>
      </c>
      <c r="E651" s="502">
        <f t="shared" si="119"/>
        <v>185</v>
      </c>
      <c r="F651" s="445">
        <f t="shared" si="120"/>
        <v>185</v>
      </c>
      <c r="G651" s="445">
        <f t="shared" si="121"/>
        <v>0</v>
      </c>
      <c r="H651" s="451"/>
      <c r="I651" s="445">
        <f t="shared" si="122"/>
        <v>0</v>
      </c>
      <c r="J651" s="451"/>
      <c r="K651" s="451"/>
      <c r="L651" s="451"/>
      <c r="M651" s="451"/>
      <c r="N651" s="451"/>
      <c r="O651" s="451"/>
      <c r="P651" s="451"/>
      <c r="Q651" s="451"/>
      <c r="R651" s="466">
        <v>185</v>
      </c>
      <c r="S651" s="445">
        <f t="shared" si="123"/>
        <v>0</v>
      </c>
      <c r="T651" s="451"/>
      <c r="U651" s="451"/>
      <c r="V651" s="451"/>
    </row>
    <row r="652" spans="1:22" s="441" customFormat="1" ht="60">
      <c r="A652" s="572"/>
      <c r="B652" s="423"/>
      <c r="C652" s="594">
        <v>4379</v>
      </c>
      <c r="D652" s="458" t="s">
        <v>238</v>
      </c>
      <c r="E652" s="502">
        <f t="shared" si="119"/>
        <v>191</v>
      </c>
      <c r="F652" s="445">
        <f t="shared" si="120"/>
        <v>191</v>
      </c>
      <c r="G652" s="445">
        <f t="shared" si="121"/>
        <v>0</v>
      </c>
      <c r="H652" s="451"/>
      <c r="I652" s="445">
        <f t="shared" si="122"/>
        <v>0</v>
      </c>
      <c r="J652" s="451"/>
      <c r="K652" s="451"/>
      <c r="L652" s="451"/>
      <c r="M652" s="451"/>
      <c r="N652" s="451"/>
      <c r="O652" s="451"/>
      <c r="P652" s="451"/>
      <c r="Q652" s="451"/>
      <c r="R652" s="466">
        <v>191</v>
      </c>
      <c r="S652" s="445">
        <f t="shared" si="123"/>
        <v>0</v>
      </c>
      <c r="T652" s="451"/>
      <c r="U652" s="451"/>
      <c r="V652" s="451"/>
    </row>
    <row r="653" spans="1:22" s="441" customFormat="1" ht="30">
      <c r="A653" s="572"/>
      <c r="B653" s="348"/>
      <c r="C653" s="261">
        <v>4417</v>
      </c>
      <c r="D653" s="263" t="s">
        <v>115</v>
      </c>
      <c r="E653" s="502">
        <f>F653+S653</f>
        <v>3882</v>
      </c>
      <c r="F653" s="445">
        <f>G653+N653+O653+P653+Q653+R653</f>
        <v>3882</v>
      </c>
      <c r="G653" s="445">
        <f>H653+I653</f>
        <v>0</v>
      </c>
      <c r="H653" s="451"/>
      <c r="I653" s="445">
        <f>SUM(J653:M653)</f>
        <v>0</v>
      </c>
      <c r="J653" s="451"/>
      <c r="K653" s="451"/>
      <c r="L653" s="451"/>
      <c r="M653" s="451"/>
      <c r="N653" s="451"/>
      <c r="O653" s="451"/>
      <c r="P653" s="451"/>
      <c r="Q653" s="451"/>
      <c r="R653" s="465">
        <v>3882</v>
      </c>
      <c r="S653" s="445">
        <f>T653+V653</f>
        <v>0</v>
      </c>
      <c r="T653" s="451"/>
      <c r="U653" s="451"/>
      <c r="V653" s="451"/>
    </row>
    <row r="654" spans="1:22" s="441" customFormat="1" ht="30">
      <c r="A654" s="572"/>
      <c r="B654" s="348"/>
      <c r="C654" s="261">
        <v>4418</v>
      </c>
      <c r="D654" s="263" t="s">
        <v>115</v>
      </c>
      <c r="E654" s="502">
        <f t="shared" si="119"/>
        <v>507</v>
      </c>
      <c r="F654" s="445">
        <f t="shared" si="120"/>
        <v>507</v>
      </c>
      <c r="G654" s="445">
        <f t="shared" si="121"/>
        <v>0</v>
      </c>
      <c r="H654" s="451"/>
      <c r="I654" s="445">
        <f t="shared" si="122"/>
        <v>0</v>
      </c>
      <c r="J654" s="451"/>
      <c r="K654" s="451"/>
      <c r="L654" s="451"/>
      <c r="M654" s="451"/>
      <c r="N654" s="451"/>
      <c r="O654" s="451"/>
      <c r="P654" s="451"/>
      <c r="Q654" s="451"/>
      <c r="R654" s="465">
        <v>507</v>
      </c>
      <c r="S654" s="445">
        <f t="shared" si="123"/>
        <v>0</v>
      </c>
      <c r="T654" s="451"/>
      <c r="U654" s="451"/>
      <c r="V654" s="451"/>
    </row>
    <row r="655" spans="1:22" s="441" customFormat="1" ht="30">
      <c r="A655" s="572"/>
      <c r="B655" s="348"/>
      <c r="C655" s="261">
        <v>4419</v>
      </c>
      <c r="D655" s="263" t="s">
        <v>115</v>
      </c>
      <c r="E655" s="502">
        <f t="shared" si="119"/>
        <v>738</v>
      </c>
      <c r="F655" s="445">
        <f t="shared" si="120"/>
        <v>738</v>
      </c>
      <c r="G655" s="445">
        <f t="shared" si="121"/>
        <v>0</v>
      </c>
      <c r="H655" s="451"/>
      <c r="I655" s="445">
        <f t="shared" si="122"/>
        <v>0</v>
      </c>
      <c r="J655" s="451"/>
      <c r="K655" s="451"/>
      <c r="L655" s="451"/>
      <c r="M655" s="451"/>
      <c r="N655" s="451"/>
      <c r="O655" s="451"/>
      <c r="P655" s="451"/>
      <c r="Q655" s="451"/>
      <c r="R655" s="465">
        <v>738</v>
      </c>
      <c r="S655" s="445">
        <f t="shared" si="123"/>
        <v>0</v>
      </c>
      <c r="T655" s="451"/>
      <c r="U655" s="451"/>
      <c r="V655" s="451"/>
    </row>
    <row r="656" spans="1:22" s="441" customFormat="1" ht="45">
      <c r="A656" s="572"/>
      <c r="B656" s="423"/>
      <c r="C656" s="261">
        <v>4447</v>
      </c>
      <c r="D656" s="263" t="s">
        <v>117</v>
      </c>
      <c r="E656" s="502">
        <f t="shared" si="119"/>
        <v>627</v>
      </c>
      <c r="F656" s="445">
        <f t="shared" si="120"/>
        <v>627</v>
      </c>
      <c r="G656" s="445">
        <f t="shared" si="121"/>
        <v>0</v>
      </c>
      <c r="H656" s="451"/>
      <c r="I656" s="445">
        <f t="shared" si="122"/>
        <v>0</v>
      </c>
      <c r="J656" s="451"/>
      <c r="K656" s="451"/>
      <c r="L656" s="451"/>
      <c r="M656" s="451"/>
      <c r="N656" s="451"/>
      <c r="O656" s="451"/>
      <c r="P656" s="451"/>
      <c r="Q656" s="451"/>
      <c r="R656" s="465">
        <v>627</v>
      </c>
      <c r="S656" s="445">
        <f t="shared" si="123"/>
        <v>0</v>
      </c>
      <c r="T656" s="451"/>
      <c r="U656" s="451"/>
      <c r="V656" s="451"/>
    </row>
    <row r="657" spans="1:22" s="441" customFormat="1" ht="45">
      <c r="A657" s="572"/>
      <c r="B657" s="423"/>
      <c r="C657" s="261">
        <v>4448</v>
      </c>
      <c r="D657" s="263" t="s">
        <v>117</v>
      </c>
      <c r="E657" s="502">
        <f t="shared" si="119"/>
        <v>0</v>
      </c>
      <c r="F657" s="445">
        <f t="shared" si="120"/>
        <v>0</v>
      </c>
      <c r="G657" s="445">
        <f t="shared" si="121"/>
        <v>0</v>
      </c>
      <c r="H657" s="451"/>
      <c r="I657" s="445">
        <f t="shared" si="122"/>
        <v>0</v>
      </c>
      <c r="J657" s="451"/>
      <c r="K657" s="451"/>
      <c r="L657" s="451"/>
      <c r="M657" s="451"/>
      <c r="N657" s="451"/>
      <c r="O657" s="451"/>
      <c r="P657" s="451"/>
      <c r="Q657" s="451"/>
      <c r="R657" s="465"/>
      <c r="S657" s="445">
        <f t="shared" si="123"/>
        <v>0</v>
      </c>
      <c r="T657" s="451"/>
      <c r="U657" s="451"/>
      <c r="V657" s="451"/>
    </row>
    <row r="658" spans="1:22" s="441" customFormat="1" ht="45">
      <c r="A658" s="572"/>
      <c r="B658" s="423"/>
      <c r="C658" s="261">
        <v>4449</v>
      </c>
      <c r="D658" s="263" t="s">
        <v>117</v>
      </c>
      <c r="E658" s="502">
        <f>F658+S658</f>
        <v>33</v>
      </c>
      <c r="F658" s="445">
        <f>G658+N658+O658+P658+Q658+R658</f>
        <v>33</v>
      </c>
      <c r="G658" s="445">
        <f>H658+I658</f>
        <v>0</v>
      </c>
      <c r="H658" s="451"/>
      <c r="I658" s="445">
        <f>SUM(J658:M658)</f>
        <v>0</v>
      </c>
      <c r="J658" s="451"/>
      <c r="K658" s="451"/>
      <c r="L658" s="451"/>
      <c r="M658" s="451"/>
      <c r="N658" s="451"/>
      <c r="O658" s="451"/>
      <c r="P658" s="451"/>
      <c r="Q658" s="451"/>
      <c r="R658" s="465">
        <v>33</v>
      </c>
      <c r="S658" s="445">
        <f>T658+V658</f>
        <v>0</v>
      </c>
      <c r="T658" s="451"/>
      <c r="U658" s="451"/>
      <c r="V658" s="451"/>
    </row>
    <row r="659" spans="1:22" s="441" customFormat="1" ht="63.75" customHeight="1">
      <c r="A659" s="572"/>
      <c r="B659" s="423"/>
      <c r="C659" s="261">
        <v>4747</v>
      </c>
      <c r="D659" s="263" t="s">
        <v>199</v>
      </c>
      <c r="E659" s="502">
        <f>F659+S659</f>
        <v>16064</v>
      </c>
      <c r="F659" s="445">
        <f>G659+N659+O659+P659+Q659+R659</f>
        <v>16064</v>
      </c>
      <c r="G659" s="445">
        <f>H659+I659</f>
        <v>0</v>
      </c>
      <c r="H659" s="451"/>
      <c r="I659" s="445">
        <f>SUM(J659:M659)</f>
        <v>0</v>
      </c>
      <c r="J659" s="451"/>
      <c r="K659" s="451"/>
      <c r="L659" s="451"/>
      <c r="M659" s="451"/>
      <c r="N659" s="451"/>
      <c r="O659" s="451"/>
      <c r="P659" s="451"/>
      <c r="Q659" s="451"/>
      <c r="R659" s="465">
        <v>16064</v>
      </c>
      <c r="S659" s="445">
        <f>T659+V659</f>
        <v>0</v>
      </c>
      <c r="T659" s="451"/>
      <c r="U659" s="451"/>
      <c r="V659" s="451"/>
    </row>
    <row r="660" spans="1:22" s="441" customFormat="1" ht="63.75" customHeight="1">
      <c r="A660" s="572"/>
      <c r="B660" s="423"/>
      <c r="C660" s="261">
        <v>4748</v>
      </c>
      <c r="D660" s="263" t="s">
        <v>199</v>
      </c>
      <c r="E660" s="502">
        <f t="shared" si="119"/>
        <v>13462</v>
      </c>
      <c r="F660" s="445">
        <f t="shared" si="120"/>
        <v>13462</v>
      </c>
      <c r="G660" s="445">
        <f t="shared" si="121"/>
        <v>0</v>
      </c>
      <c r="H660" s="451"/>
      <c r="I660" s="445">
        <f t="shared" si="122"/>
        <v>0</v>
      </c>
      <c r="J660" s="451"/>
      <c r="K660" s="451"/>
      <c r="L660" s="451"/>
      <c r="M660" s="451"/>
      <c r="N660" s="451"/>
      <c r="O660" s="451"/>
      <c r="P660" s="451"/>
      <c r="Q660" s="451"/>
      <c r="R660" s="465">
        <v>13462</v>
      </c>
      <c r="S660" s="445">
        <f t="shared" si="123"/>
        <v>0</v>
      </c>
      <c r="T660" s="451"/>
      <c r="U660" s="451"/>
      <c r="V660" s="451"/>
    </row>
    <row r="661" spans="1:22" s="441" customFormat="1" ht="63.75" customHeight="1">
      <c r="A661" s="572"/>
      <c r="B661" s="423"/>
      <c r="C661" s="261">
        <v>4749</v>
      </c>
      <c r="D661" s="263" t="s">
        <v>199</v>
      </c>
      <c r="E661" s="502">
        <f t="shared" si="119"/>
        <v>3299</v>
      </c>
      <c r="F661" s="445">
        <f t="shared" si="120"/>
        <v>3299</v>
      </c>
      <c r="G661" s="445">
        <f t="shared" si="121"/>
        <v>0</v>
      </c>
      <c r="H661" s="451"/>
      <c r="I661" s="445">
        <f t="shared" si="122"/>
        <v>0</v>
      </c>
      <c r="J661" s="451"/>
      <c r="K661" s="451"/>
      <c r="L661" s="451"/>
      <c r="M661" s="451"/>
      <c r="N661" s="451"/>
      <c r="O661" s="451"/>
      <c r="P661" s="451"/>
      <c r="Q661" s="451"/>
      <c r="R661" s="465">
        <v>3299</v>
      </c>
      <c r="S661" s="445">
        <f t="shared" si="123"/>
        <v>0</v>
      </c>
      <c r="T661" s="451"/>
      <c r="U661" s="451"/>
      <c r="V661" s="451"/>
    </row>
    <row r="662" spans="1:22" s="441" customFormat="1" ht="51" customHeight="1">
      <c r="A662" s="572"/>
      <c r="B662" s="423"/>
      <c r="C662" s="261">
        <v>4757</v>
      </c>
      <c r="D662" s="263" t="s">
        <v>239</v>
      </c>
      <c r="E662" s="502">
        <f>F662+S662</f>
        <v>49521</v>
      </c>
      <c r="F662" s="445">
        <f>G662+N662+O662+P662+Q662+R662</f>
        <v>49521</v>
      </c>
      <c r="G662" s="445">
        <f>H662+I662</f>
        <v>0</v>
      </c>
      <c r="H662" s="451"/>
      <c r="I662" s="445">
        <f>SUM(J662:M662)</f>
        <v>0</v>
      </c>
      <c r="J662" s="451"/>
      <c r="K662" s="451"/>
      <c r="L662" s="451"/>
      <c r="M662" s="451"/>
      <c r="N662" s="451"/>
      <c r="O662" s="451"/>
      <c r="P662" s="451"/>
      <c r="Q662" s="451"/>
      <c r="R662" s="465">
        <v>49521</v>
      </c>
      <c r="S662" s="445">
        <f>T662+V662</f>
        <v>0</v>
      </c>
      <c r="T662" s="451"/>
      <c r="U662" s="451"/>
      <c r="V662" s="451"/>
    </row>
    <row r="663" spans="1:22" s="441" customFormat="1" ht="51" customHeight="1">
      <c r="A663" s="572"/>
      <c r="B663" s="423"/>
      <c r="C663" s="261">
        <v>4758</v>
      </c>
      <c r="D663" s="263" t="s">
        <v>239</v>
      </c>
      <c r="E663" s="502">
        <f t="shared" si="119"/>
        <v>50525</v>
      </c>
      <c r="F663" s="445">
        <f t="shared" si="120"/>
        <v>50525</v>
      </c>
      <c r="G663" s="445">
        <f t="shared" si="121"/>
        <v>0</v>
      </c>
      <c r="H663" s="451"/>
      <c r="I663" s="445">
        <f t="shared" si="122"/>
        <v>0</v>
      </c>
      <c r="J663" s="451"/>
      <c r="K663" s="451"/>
      <c r="L663" s="451"/>
      <c r="M663" s="451"/>
      <c r="N663" s="451"/>
      <c r="O663" s="451"/>
      <c r="P663" s="451"/>
      <c r="Q663" s="451"/>
      <c r="R663" s="465">
        <v>50525</v>
      </c>
      <c r="S663" s="445">
        <f t="shared" si="123"/>
        <v>0</v>
      </c>
      <c r="T663" s="451"/>
      <c r="U663" s="451"/>
      <c r="V663" s="451"/>
    </row>
    <row r="664" spans="1:22" s="441" customFormat="1" ht="45">
      <c r="A664" s="572"/>
      <c r="B664" s="423"/>
      <c r="C664" s="261">
        <v>4759</v>
      </c>
      <c r="D664" s="263" t="s">
        <v>239</v>
      </c>
      <c r="E664" s="502">
        <f t="shared" si="119"/>
        <v>13938</v>
      </c>
      <c r="F664" s="445">
        <f t="shared" si="120"/>
        <v>13938</v>
      </c>
      <c r="G664" s="445">
        <f t="shared" si="121"/>
        <v>0</v>
      </c>
      <c r="H664" s="451"/>
      <c r="I664" s="445">
        <f t="shared" si="122"/>
        <v>0</v>
      </c>
      <c r="J664" s="451"/>
      <c r="K664" s="451"/>
      <c r="L664" s="451"/>
      <c r="M664" s="451"/>
      <c r="N664" s="451"/>
      <c r="O664" s="451"/>
      <c r="P664" s="451"/>
      <c r="Q664" s="451"/>
      <c r="R664" s="465">
        <v>13938</v>
      </c>
      <c r="S664" s="445">
        <f t="shared" si="123"/>
        <v>0</v>
      </c>
      <c r="T664" s="451"/>
      <c r="U664" s="451"/>
      <c r="V664" s="451"/>
    </row>
    <row r="665" spans="1:22" s="441" customFormat="1" ht="45">
      <c r="A665" s="572"/>
      <c r="B665" s="423"/>
      <c r="C665" s="589">
        <v>6067</v>
      </c>
      <c r="D665" s="453" t="s">
        <v>387</v>
      </c>
      <c r="E665" s="502">
        <f>F665+S665</f>
        <v>10275</v>
      </c>
      <c r="F665" s="445">
        <f>G665+N665+O665+P665+Q665+R665</f>
        <v>0</v>
      </c>
      <c r="G665" s="445">
        <f>H665+I665</f>
        <v>0</v>
      </c>
      <c r="H665" s="451"/>
      <c r="I665" s="445">
        <f>SUM(J665:M665)</f>
        <v>0</v>
      </c>
      <c r="J665" s="451"/>
      <c r="K665" s="451"/>
      <c r="L665" s="451"/>
      <c r="M665" s="451"/>
      <c r="N665" s="451"/>
      <c r="O665" s="451"/>
      <c r="P665" s="451"/>
      <c r="Q665" s="451"/>
      <c r="R665" s="451"/>
      <c r="S665" s="445">
        <f>T665+V665</f>
        <v>10275</v>
      </c>
      <c r="T665" s="451">
        <f>U665</f>
        <v>10275</v>
      </c>
      <c r="U665" s="451">
        <v>10275</v>
      </c>
      <c r="V665" s="451"/>
    </row>
    <row r="666" spans="1:22" s="441" customFormat="1" ht="45">
      <c r="A666" s="570"/>
      <c r="B666" s="570"/>
      <c r="C666" s="589">
        <v>6068</v>
      </c>
      <c r="D666" s="453" t="s">
        <v>387</v>
      </c>
      <c r="E666" s="502">
        <f t="shared" si="119"/>
        <v>3428</v>
      </c>
      <c r="F666" s="445">
        <f t="shared" si="120"/>
        <v>0</v>
      </c>
      <c r="G666" s="445">
        <f t="shared" si="121"/>
        <v>0</v>
      </c>
      <c r="H666" s="451"/>
      <c r="I666" s="445">
        <f t="shared" si="122"/>
        <v>0</v>
      </c>
      <c r="J666" s="451"/>
      <c r="K666" s="451"/>
      <c r="L666" s="451"/>
      <c r="M666" s="451"/>
      <c r="N666" s="451"/>
      <c r="O666" s="451"/>
      <c r="P666" s="451"/>
      <c r="Q666" s="451"/>
      <c r="R666" s="451"/>
      <c r="S666" s="445">
        <f t="shared" si="123"/>
        <v>3428</v>
      </c>
      <c r="T666" s="451">
        <f>U666</f>
        <v>3428</v>
      </c>
      <c r="U666" s="451">
        <v>3428</v>
      </c>
      <c r="V666" s="451"/>
    </row>
    <row r="667" spans="1:22" s="441" customFormat="1" ht="45">
      <c r="A667" s="570"/>
      <c r="B667" s="570"/>
      <c r="C667" s="589">
        <v>6069</v>
      </c>
      <c r="D667" s="453" t="s">
        <v>387</v>
      </c>
      <c r="E667" s="502">
        <f t="shared" si="119"/>
        <v>1130</v>
      </c>
      <c r="F667" s="445">
        <f t="shared" si="120"/>
        <v>0</v>
      </c>
      <c r="G667" s="445">
        <f t="shared" si="121"/>
        <v>0</v>
      </c>
      <c r="H667" s="451"/>
      <c r="I667" s="445">
        <f t="shared" si="122"/>
        <v>0</v>
      </c>
      <c r="J667" s="451"/>
      <c r="K667" s="451"/>
      <c r="L667" s="451"/>
      <c r="M667" s="451"/>
      <c r="N667" s="451"/>
      <c r="O667" s="451"/>
      <c r="P667" s="451"/>
      <c r="Q667" s="451"/>
      <c r="R667" s="451"/>
      <c r="S667" s="445">
        <f t="shared" si="123"/>
        <v>1130</v>
      </c>
      <c r="T667" s="451">
        <f>U667</f>
        <v>1130</v>
      </c>
      <c r="U667" s="451">
        <v>1130</v>
      </c>
      <c r="V667" s="451"/>
    </row>
    <row r="668" spans="1:22" s="446" customFormat="1" ht="47.25">
      <c r="A668" s="570">
        <v>854</v>
      </c>
      <c r="B668" s="570"/>
      <c r="C668" s="587"/>
      <c r="D668" s="311" t="s">
        <v>284</v>
      </c>
      <c r="E668" s="502">
        <f t="shared" si="119"/>
        <v>2290065</v>
      </c>
      <c r="F668" s="445">
        <f t="shared" si="120"/>
        <v>2290065</v>
      </c>
      <c r="G668" s="445">
        <f t="shared" si="121"/>
        <v>1868747</v>
      </c>
      <c r="H668" s="445">
        <f>SUM(H669+H676+H699+H717+H722+H724+H727)</f>
        <v>521400</v>
      </c>
      <c r="I668" s="445">
        <f t="shared" si="122"/>
        <v>1347347</v>
      </c>
      <c r="J668" s="445">
        <f aca="true" t="shared" si="124" ref="J668:R668">SUM(J669+J676+J699+J717+J722+J724+J727)</f>
        <v>1060176</v>
      </c>
      <c r="K668" s="445">
        <f t="shared" si="124"/>
        <v>76163</v>
      </c>
      <c r="L668" s="445">
        <f t="shared" si="124"/>
        <v>199078</v>
      </c>
      <c r="M668" s="445">
        <f>SUM(M669+M676+M699+M717+M722+M724+M727)</f>
        <v>11930</v>
      </c>
      <c r="N668" s="445">
        <f>SUM(N669+N676+N699+N717+N722+N724+N727)</f>
        <v>116598</v>
      </c>
      <c r="O668" s="445">
        <f t="shared" si="124"/>
        <v>304720</v>
      </c>
      <c r="P668" s="445">
        <f>SUM(P669+P676+P699+P717+P722+P724+P727)</f>
        <v>0</v>
      </c>
      <c r="Q668" s="445">
        <f t="shared" si="124"/>
        <v>0</v>
      </c>
      <c r="R668" s="445">
        <f t="shared" si="124"/>
        <v>0</v>
      </c>
      <c r="S668" s="445">
        <f t="shared" si="123"/>
        <v>0</v>
      </c>
      <c r="T668" s="445">
        <f>SUM(T669+T676+T699+T717+T722+T724+T727)</f>
        <v>0</v>
      </c>
      <c r="U668" s="445">
        <f>SUM(U669+U676+U699+U717+U722+U724+U727)</f>
        <v>0</v>
      </c>
      <c r="V668" s="445">
        <f>SUM(V669+V676+V699+V717+V722+V724+V727)</f>
        <v>0</v>
      </c>
    </row>
    <row r="669" spans="1:22" s="449" customFormat="1" ht="15.75">
      <c r="A669" s="571"/>
      <c r="B669" s="571">
        <v>85401</v>
      </c>
      <c r="C669" s="588"/>
      <c r="D669" s="262" t="s">
        <v>285</v>
      </c>
      <c r="E669" s="502">
        <f t="shared" si="119"/>
        <v>156153</v>
      </c>
      <c r="F669" s="445">
        <f t="shared" si="120"/>
        <v>156153</v>
      </c>
      <c r="G669" s="445">
        <f t="shared" si="121"/>
        <v>155843</v>
      </c>
      <c r="H669" s="448">
        <f>SUM(H670:H675)</f>
        <v>6079</v>
      </c>
      <c r="I669" s="445">
        <f t="shared" si="122"/>
        <v>149764</v>
      </c>
      <c r="J669" s="448">
        <f aca="true" t="shared" si="125" ref="J669:R669">SUM(J670:J675)</f>
        <v>118668</v>
      </c>
      <c r="K669" s="448">
        <f t="shared" si="125"/>
        <v>9122</v>
      </c>
      <c r="L669" s="448">
        <f t="shared" si="125"/>
        <v>21974</v>
      </c>
      <c r="M669" s="448">
        <f>SUM(M670:M675)</f>
        <v>0</v>
      </c>
      <c r="N669" s="448">
        <f>SUM(N670:N675)</f>
        <v>310</v>
      </c>
      <c r="O669" s="448">
        <f t="shared" si="125"/>
        <v>0</v>
      </c>
      <c r="P669" s="448">
        <f>SUM(P670:P675)</f>
        <v>0</v>
      </c>
      <c r="Q669" s="448">
        <f t="shared" si="125"/>
        <v>0</v>
      </c>
      <c r="R669" s="448">
        <f t="shared" si="125"/>
        <v>0</v>
      </c>
      <c r="S669" s="445">
        <f t="shared" si="123"/>
        <v>0</v>
      </c>
      <c r="T669" s="448">
        <f>SUM(T670:T675)</f>
        <v>0</v>
      </c>
      <c r="U669" s="448">
        <f>SUM(U670:U675)</f>
        <v>0</v>
      </c>
      <c r="V669" s="448">
        <f>SUM(V670:V675)</f>
        <v>0</v>
      </c>
    </row>
    <row r="670" spans="1:22" s="441" customFormat="1" ht="45">
      <c r="A670" s="572"/>
      <c r="B670" s="572"/>
      <c r="C670" s="589">
        <v>3020</v>
      </c>
      <c r="D670" s="450" t="s">
        <v>386</v>
      </c>
      <c r="E670" s="502">
        <f t="shared" si="119"/>
        <v>310</v>
      </c>
      <c r="F670" s="445">
        <f t="shared" si="120"/>
        <v>310</v>
      </c>
      <c r="G670" s="445">
        <f t="shared" si="121"/>
        <v>0</v>
      </c>
      <c r="H670" s="451"/>
      <c r="I670" s="445">
        <f t="shared" si="122"/>
        <v>0</v>
      </c>
      <c r="J670" s="451"/>
      <c r="K670" s="451"/>
      <c r="L670" s="451"/>
      <c r="M670" s="451"/>
      <c r="N670" s="451">
        <v>310</v>
      </c>
      <c r="O670" s="451"/>
      <c r="P670" s="451"/>
      <c r="Q670" s="451"/>
      <c r="R670" s="451"/>
      <c r="S670" s="445">
        <f t="shared" si="123"/>
        <v>0</v>
      </c>
      <c r="T670" s="451"/>
      <c r="U670" s="451"/>
      <c r="V670" s="451"/>
    </row>
    <row r="671" spans="1:22" s="441" customFormat="1" ht="30">
      <c r="A671" s="572"/>
      <c r="B671" s="572"/>
      <c r="C671" s="589">
        <v>4010</v>
      </c>
      <c r="D671" s="450" t="s">
        <v>102</v>
      </c>
      <c r="E671" s="502">
        <f t="shared" si="119"/>
        <v>118668</v>
      </c>
      <c r="F671" s="445">
        <f t="shared" si="120"/>
        <v>118668</v>
      </c>
      <c r="G671" s="445">
        <f t="shared" si="121"/>
        <v>118668</v>
      </c>
      <c r="H671" s="451"/>
      <c r="I671" s="445">
        <f t="shared" si="122"/>
        <v>118668</v>
      </c>
      <c r="J671" s="451">
        <v>118668</v>
      </c>
      <c r="K671" s="451"/>
      <c r="L671" s="451"/>
      <c r="M671" s="451"/>
      <c r="N671" s="451"/>
      <c r="O671" s="451"/>
      <c r="P671" s="451"/>
      <c r="Q671" s="451"/>
      <c r="R671" s="451"/>
      <c r="S671" s="445">
        <f t="shared" si="123"/>
        <v>0</v>
      </c>
      <c r="T671" s="451"/>
      <c r="U671" s="451"/>
      <c r="V671" s="451"/>
    </row>
    <row r="672" spans="1:22" s="441" customFormat="1" ht="30">
      <c r="A672" s="572"/>
      <c r="B672" s="572"/>
      <c r="C672" s="589">
        <v>4040</v>
      </c>
      <c r="D672" s="450" t="s">
        <v>103</v>
      </c>
      <c r="E672" s="502">
        <f t="shared" si="119"/>
        <v>9122</v>
      </c>
      <c r="F672" s="445">
        <f t="shared" si="120"/>
        <v>9122</v>
      </c>
      <c r="G672" s="445">
        <f t="shared" si="121"/>
        <v>9122</v>
      </c>
      <c r="H672" s="451"/>
      <c r="I672" s="445">
        <f t="shared" si="122"/>
        <v>9122</v>
      </c>
      <c r="J672" s="451"/>
      <c r="K672" s="451">
        <v>9122</v>
      </c>
      <c r="L672" s="451"/>
      <c r="M672" s="451"/>
      <c r="N672" s="451"/>
      <c r="O672" s="451"/>
      <c r="P672" s="451"/>
      <c r="Q672" s="451"/>
      <c r="R672" s="451"/>
      <c r="S672" s="445">
        <f t="shared" si="123"/>
        <v>0</v>
      </c>
      <c r="T672" s="451"/>
      <c r="U672" s="451"/>
      <c r="V672" s="451"/>
    </row>
    <row r="673" spans="1:22" s="441" customFormat="1" ht="45">
      <c r="A673" s="572"/>
      <c r="B673" s="572"/>
      <c r="C673" s="589">
        <v>4110</v>
      </c>
      <c r="D673" s="450" t="s">
        <v>234</v>
      </c>
      <c r="E673" s="502">
        <f t="shared" si="119"/>
        <v>19395</v>
      </c>
      <c r="F673" s="445">
        <f t="shared" si="120"/>
        <v>19395</v>
      </c>
      <c r="G673" s="445">
        <f t="shared" si="121"/>
        <v>19395</v>
      </c>
      <c r="H673" s="451"/>
      <c r="I673" s="445">
        <f t="shared" si="122"/>
        <v>19395</v>
      </c>
      <c r="J673" s="451"/>
      <c r="K673" s="451"/>
      <c r="L673" s="451">
        <v>19395</v>
      </c>
      <c r="M673" s="451"/>
      <c r="N673" s="451"/>
      <c r="O673" s="451"/>
      <c r="P673" s="451"/>
      <c r="Q673" s="451"/>
      <c r="R673" s="451"/>
      <c r="S673" s="445">
        <f t="shared" si="123"/>
        <v>0</v>
      </c>
      <c r="T673" s="451"/>
      <c r="U673" s="451"/>
      <c r="V673" s="451"/>
    </row>
    <row r="674" spans="1:22" s="441" customFormat="1" ht="30">
      <c r="A674" s="572"/>
      <c r="B674" s="572"/>
      <c r="C674" s="589">
        <v>4120</v>
      </c>
      <c r="D674" s="450" t="s">
        <v>105</v>
      </c>
      <c r="E674" s="502">
        <f t="shared" si="119"/>
        <v>2579</v>
      </c>
      <c r="F674" s="445">
        <f t="shared" si="120"/>
        <v>2579</v>
      </c>
      <c r="G674" s="445">
        <f t="shared" si="121"/>
        <v>2579</v>
      </c>
      <c r="H674" s="451"/>
      <c r="I674" s="445">
        <f t="shared" si="122"/>
        <v>2579</v>
      </c>
      <c r="J674" s="451"/>
      <c r="K674" s="451"/>
      <c r="L674" s="451">
        <v>2579</v>
      </c>
      <c r="M674" s="451"/>
      <c r="N674" s="451"/>
      <c r="O674" s="451"/>
      <c r="P674" s="451"/>
      <c r="Q674" s="451"/>
      <c r="R674" s="451"/>
      <c r="S674" s="445">
        <f t="shared" si="123"/>
        <v>0</v>
      </c>
      <c r="T674" s="451"/>
      <c r="U674" s="451"/>
      <c r="V674" s="451"/>
    </row>
    <row r="675" spans="1:22" s="441" customFormat="1" ht="40.5" customHeight="1">
      <c r="A675" s="572"/>
      <c r="B675" s="572"/>
      <c r="C675" s="589">
        <v>4440</v>
      </c>
      <c r="D675" s="450" t="s">
        <v>117</v>
      </c>
      <c r="E675" s="502">
        <f t="shared" si="119"/>
        <v>6079</v>
      </c>
      <c r="F675" s="445">
        <f t="shared" si="120"/>
        <v>6079</v>
      </c>
      <c r="G675" s="445">
        <f t="shared" si="121"/>
        <v>6079</v>
      </c>
      <c r="H675" s="451">
        <v>6079</v>
      </c>
      <c r="I675" s="445">
        <f t="shared" si="122"/>
        <v>0</v>
      </c>
      <c r="J675" s="451"/>
      <c r="K675" s="451"/>
      <c r="L675" s="451"/>
      <c r="M675" s="451"/>
      <c r="N675" s="451"/>
      <c r="O675" s="451"/>
      <c r="P675" s="451"/>
      <c r="Q675" s="451"/>
      <c r="R675" s="451"/>
      <c r="S675" s="445">
        <f t="shared" si="123"/>
        <v>0</v>
      </c>
      <c r="T675" s="451"/>
      <c r="U675" s="451"/>
      <c r="V675" s="451"/>
    </row>
    <row r="676" spans="1:22" s="449" customFormat="1" ht="78.75">
      <c r="A676" s="571"/>
      <c r="B676" s="571">
        <v>85406</v>
      </c>
      <c r="C676" s="588"/>
      <c r="D676" s="262" t="s">
        <v>286</v>
      </c>
      <c r="E676" s="502">
        <f t="shared" si="119"/>
        <v>1067851</v>
      </c>
      <c r="F676" s="445">
        <f t="shared" si="120"/>
        <v>1067851</v>
      </c>
      <c r="G676" s="445">
        <f t="shared" si="121"/>
        <v>751733</v>
      </c>
      <c r="H676" s="448">
        <f>SUM(H677:H698)</f>
        <v>83864</v>
      </c>
      <c r="I676" s="445">
        <f t="shared" si="122"/>
        <v>667869</v>
      </c>
      <c r="J676" s="448">
        <f aca="true" t="shared" si="126" ref="J676:R676">SUM(J677:J698)</f>
        <v>525130</v>
      </c>
      <c r="K676" s="448">
        <f t="shared" si="126"/>
        <v>37941</v>
      </c>
      <c r="L676" s="448">
        <f t="shared" si="126"/>
        <v>97968</v>
      </c>
      <c r="M676" s="448">
        <f t="shared" si="126"/>
        <v>6830</v>
      </c>
      <c r="N676" s="448">
        <f t="shared" si="126"/>
        <v>11398</v>
      </c>
      <c r="O676" s="448">
        <f>SUM(O677:O698)</f>
        <v>304720</v>
      </c>
      <c r="P676" s="448">
        <f>SUM(P677:P698)</f>
        <v>0</v>
      </c>
      <c r="Q676" s="448">
        <f t="shared" si="126"/>
        <v>0</v>
      </c>
      <c r="R676" s="448">
        <f t="shared" si="126"/>
        <v>0</v>
      </c>
      <c r="S676" s="445">
        <f t="shared" si="123"/>
        <v>0</v>
      </c>
      <c r="T676" s="448">
        <f>SUM(T677:T698)</f>
        <v>0</v>
      </c>
      <c r="U676" s="448">
        <f>SUM(U677:U698)</f>
        <v>0</v>
      </c>
      <c r="V676" s="448">
        <f>SUM(V677:V698)</f>
        <v>0</v>
      </c>
    </row>
    <row r="677" spans="1:22" s="441" customFormat="1" ht="100.5" customHeight="1">
      <c r="A677" s="572"/>
      <c r="B677" s="572"/>
      <c r="C677" s="589">
        <v>2310</v>
      </c>
      <c r="D677" s="450" t="s">
        <v>287</v>
      </c>
      <c r="E677" s="502">
        <f t="shared" si="119"/>
        <v>304720</v>
      </c>
      <c r="F677" s="445">
        <f t="shared" si="120"/>
        <v>304720</v>
      </c>
      <c r="G677" s="445">
        <f t="shared" si="121"/>
        <v>0</v>
      </c>
      <c r="H677" s="460"/>
      <c r="I677" s="445">
        <f t="shared" si="122"/>
        <v>0</v>
      </c>
      <c r="J677" s="451"/>
      <c r="K677" s="451"/>
      <c r="L677" s="451"/>
      <c r="M677" s="451"/>
      <c r="N677" s="451"/>
      <c r="O677" s="451">
        <v>304720</v>
      </c>
      <c r="P677" s="451"/>
      <c r="Q677" s="451"/>
      <c r="R677" s="451"/>
      <c r="S677" s="445">
        <f t="shared" si="123"/>
        <v>0</v>
      </c>
      <c r="T677" s="451"/>
      <c r="U677" s="451"/>
      <c r="V677" s="451"/>
    </row>
    <row r="678" spans="1:22" s="441" customFormat="1" ht="42.75" customHeight="1">
      <c r="A678" s="572"/>
      <c r="B678" s="572"/>
      <c r="C678" s="589">
        <v>3020</v>
      </c>
      <c r="D678" s="450" t="s">
        <v>386</v>
      </c>
      <c r="E678" s="502">
        <f t="shared" si="119"/>
        <v>11398</v>
      </c>
      <c r="F678" s="445">
        <f t="shared" si="120"/>
        <v>11398</v>
      </c>
      <c r="G678" s="445">
        <f t="shared" si="121"/>
        <v>0</v>
      </c>
      <c r="H678" s="451"/>
      <c r="I678" s="445">
        <f t="shared" si="122"/>
        <v>0</v>
      </c>
      <c r="J678" s="451"/>
      <c r="K678" s="451"/>
      <c r="L678" s="451"/>
      <c r="M678" s="451"/>
      <c r="N678" s="451">
        <v>11398</v>
      </c>
      <c r="O678" s="451"/>
      <c r="P678" s="451"/>
      <c r="Q678" s="451"/>
      <c r="R678" s="451"/>
      <c r="S678" s="445">
        <f t="shared" si="123"/>
        <v>0</v>
      </c>
      <c r="T678" s="451"/>
      <c r="U678" s="451"/>
      <c r="V678" s="451"/>
    </row>
    <row r="679" spans="1:22" s="441" customFormat="1" ht="30">
      <c r="A679" s="572"/>
      <c r="B679" s="572"/>
      <c r="C679" s="589">
        <v>4010</v>
      </c>
      <c r="D679" s="450" t="s">
        <v>102</v>
      </c>
      <c r="E679" s="502">
        <f t="shared" si="119"/>
        <v>525130</v>
      </c>
      <c r="F679" s="445">
        <f t="shared" si="120"/>
        <v>525130</v>
      </c>
      <c r="G679" s="445">
        <f t="shared" si="121"/>
        <v>525130</v>
      </c>
      <c r="H679" s="451"/>
      <c r="I679" s="445">
        <f t="shared" si="122"/>
        <v>525130</v>
      </c>
      <c r="J679" s="451">
        <v>525130</v>
      </c>
      <c r="K679" s="451"/>
      <c r="L679" s="451"/>
      <c r="M679" s="451"/>
      <c r="N679" s="451"/>
      <c r="O679" s="451"/>
      <c r="P679" s="451"/>
      <c r="Q679" s="451"/>
      <c r="R679" s="451"/>
      <c r="S679" s="445">
        <f t="shared" si="123"/>
        <v>0</v>
      </c>
      <c r="T679" s="451"/>
      <c r="U679" s="451"/>
      <c r="V679" s="451"/>
    </row>
    <row r="680" spans="1:22" s="441" customFormat="1" ht="30">
      <c r="A680" s="572"/>
      <c r="B680" s="572"/>
      <c r="C680" s="589">
        <v>4040</v>
      </c>
      <c r="D680" s="450" t="s">
        <v>103</v>
      </c>
      <c r="E680" s="502">
        <f t="shared" si="119"/>
        <v>37941</v>
      </c>
      <c r="F680" s="445">
        <f t="shared" si="120"/>
        <v>37941</v>
      </c>
      <c r="G680" s="445">
        <f t="shared" si="121"/>
        <v>37941</v>
      </c>
      <c r="H680" s="451"/>
      <c r="I680" s="445">
        <f t="shared" si="122"/>
        <v>37941</v>
      </c>
      <c r="J680" s="451"/>
      <c r="K680" s="451">
        <v>37941</v>
      </c>
      <c r="L680" s="451"/>
      <c r="M680" s="451"/>
      <c r="N680" s="451"/>
      <c r="O680" s="451"/>
      <c r="P680" s="451"/>
      <c r="Q680" s="451"/>
      <c r="R680" s="451"/>
      <c r="S680" s="445">
        <f t="shared" si="123"/>
        <v>0</v>
      </c>
      <c r="T680" s="451"/>
      <c r="U680" s="451"/>
      <c r="V680" s="451"/>
    </row>
    <row r="681" spans="1:22" s="441" customFormat="1" ht="45">
      <c r="A681" s="572"/>
      <c r="B681" s="572"/>
      <c r="C681" s="589">
        <v>4110</v>
      </c>
      <c r="D681" s="450" t="s">
        <v>234</v>
      </c>
      <c r="E681" s="502">
        <f t="shared" si="119"/>
        <v>84810</v>
      </c>
      <c r="F681" s="445">
        <f t="shared" si="120"/>
        <v>84810</v>
      </c>
      <c r="G681" s="445">
        <f t="shared" si="121"/>
        <v>84810</v>
      </c>
      <c r="H681" s="451"/>
      <c r="I681" s="445">
        <f t="shared" si="122"/>
        <v>84810</v>
      </c>
      <c r="J681" s="451"/>
      <c r="K681" s="451"/>
      <c r="L681" s="451">
        <v>84810</v>
      </c>
      <c r="M681" s="451"/>
      <c r="N681" s="451"/>
      <c r="O681" s="451"/>
      <c r="P681" s="451"/>
      <c r="Q681" s="451"/>
      <c r="R681" s="451"/>
      <c r="S681" s="445">
        <f t="shared" si="123"/>
        <v>0</v>
      </c>
      <c r="T681" s="451"/>
      <c r="U681" s="451"/>
      <c r="V681" s="451"/>
    </row>
    <row r="682" spans="1:22" s="441" customFormat="1" ht="30">
      <c r="A682" s="572"/>
      <c r="B682" s="572"/>
      <c r="C682" s="589">
        <v>4120</v>
      </c>
      <c r="D682" s="450" t="s">
        <v>105</v>
      </c>
      <c r="E682" s="502">
        <f t="shared" si="119"/>
        <v>13158</v>
      </c>
      <c r="F682" s="445">
        <f t="shared" si="120"/>
        <v>13158</v>
      </c>
      <c r="G682" s="445">
        <f t="shared" si="121"/>
        <v>13158</v>
      </c>
      <c r="H682" s="451"/>
      <c r="I682" s="445">
        <f t="shared" si="122"/>
        <v>13158</v>
      </c>
      <c r="J682" s="451"/>
      <c r="K682" s="451"/>
      <c r="L682" s="451">
        <v>13158</v>
      </c>
      <c r="M682" s="451"/>
      <c r="N682" s="451"/>
      <c r="O682" s="451"/>
      <c r="P682" s="451"/>
      <c r="Q682" s="451"/>
      <c r="R682" s="451"/>
      <c r="S682" s="445">
        <f t="shared" si="123"/>
        <v>0</v>
      </c>
      <c r="T682" s="451"/>
      <c r="U682" s="451"/>
      <c r="V682" s="451"/>
    </row>
    <row r="683" spans="1:22" s="441" customFormat="1" ht="30">
      <c r="A683" s="572"/>
      <c r="B683" s="572"/>
      <c r="C683" s="589">
        <v>4170</v>
      </c>
      <c r="D683" s="450" t="s">
        <v>270</v>
      </c>
      <c r="E683" s="502">
        <f t="shared" si="119"/>
        <v>6830</v>
      </c>
      <c r="F683" s="445">
        <f t="shared" si="120"/>
        <v>6830</v>
      </c>
      <c r="G683" s="445">
        <f t="shared" si="121"/>
        <v>6830</v>
      </c>
      <c r="H683" s="451"/>
      <c r="I683" s="445">
        <f t="shared" si="122"/>
        <v>6830</v>
      </c>
      <c r="J683" s="451"/>
      <c r="K683" s="451"/>
      <c r="L683" s="451"/>
      <c r="M683" s="451">
        <v>6830</v>
      </c>
      <c r="N683" s="451"/>
      <c r="O683" s="451"/>
      <c r="P683" s="451"/>
      <c r="Q683" s="451"/>
      <c r="R683" s="451"/>
      <c r="S683" s="445">
        <f t="shared" si="123"/>
        <v>0</v>
      </c>
      <c r="T683" s="451"/>
      <c r="U683" s="451"/>
      <c r="V683" s="451"/>
    </row>
    <row r="684" spans="1:22" s="441" customFormat="1" ht="36.75" customHeight="1">
      <c r="A684" s="572"/>
      <c r="B684" s="572"/>
      <c r="C684" s="589">
        <v>4210</v>
      </c>
      <c r="D684" s="450" t="s">
        <v>107</v>
      </c>
      <c r="E684" s="502">
        <f t="shared" si="119"/>
        <v>8060</v>
      </c>
      <c r="F684" s="445">
        <f t="shared" si="120"/>
        <v>8060</v>
      </c>
      <c r="G684" s="445">
        <f t="shared" si="121"/>
        <v>8060</v>
      </c>
      <c r="H684" s="451">
        <v>8060</v>
      </c>
      <c r="I684" s="445">
        <f t="shared" si="122"/>
        <v>0</v>
      </c>
      <c r="J684" s="451"/>
      <c r="K684" s="451"/>
      <c r="L684" s="451"/>
      <c r="M684" s="451"/>
      <c r="N684" s="451"/>
      <c r="O684" s="451"/>
      <c r="P684" s="451"/>
      <c r="Q684" s="451"/>
      <c r="R684" s="451"/>
      <c r="S684" s="445">
        <f t="shared" si="123"/>
        <v>0</v>
      </c>
      <c r="T684" s="451"/>
      <c r="U684" s="451"/>
      <c r="V684" s="451"/>
    </row>
    <row r="685" spans="1:22" s="441" customFormat="1" ht="61.5" customHeight="1">
      <c r="A685" s="572"/>
      <c r="B685" s="572"/>
      <c r="C685" s="589">
        <v>4240</v>
      </c>
      <c r="D685" s="450" t="s">
        <v>244</v>
      </c>
      <c r="E685" s="502">
        <f t="shared" si="119"/>
        <v>1012</v>
      </c>
      <c r="F685" s="445">
        <f t="shared" si="120"/>
        <v>1012</v>
      </c>
      <c r="G685" s="445">
        <f t="shared" si="121"/>
        <v>1012</v>
      </c>
      <c r="H685" s="451">
        <v>1012</v>
      </c>
      <c r="I685" s="445">
        <f t="shared" si="122"/>
        <v>0</v>
      </c>
      <c r="J685" s="451"/>
      <c r="K685" s="451"/>
      <c r="L685" s="451"/>
      <c r="M685" s="451"/>
      <c r="N685" s="451"/>
      <c r="O685" s="451"/>
      <c r="P685" s="451"/>
      <c r="Q685" s="451"/>
      <c r="R685" s="451"/>
      <c r="S685" s="445">
        <f t="shared" si="123"/>
        <v>0</v>
      </c>
      <c r="T685" s="451"/>
      <c r="U685" s="451"/>
      <c r="V685" s="451"/>
    </row>
    <row r="686" spans="1:22" s="441" customFormat="1" ht="15.75">
      <c r="A686" s="572"/>
      <c r="B686" s="572"/>
      <c r="C686" s="589">
        <v>4260</v>
      </c>
      <c r="D686" s="450" t="s">
        <v>108</v>
      </c>
      <c r="E686" s="502">
        <f t="shared" si="119"/>
        <v>13520</v>
      </c>
      <c r="F686" s="445">
        <f t="shared" si="120"/>
        <v>13520</v>
      </c>
      <c r="G686" s="445">
        <f t="shared" si="121"/>
        <v>13520</v>
      </c>
      <c r="H686" s="451">
        <v>13520</v>
      </c>
      <c r="I686" s="445">
        <f t="shared" si="122"/>
        <v>0</v>
      </c>
      <c r="J686" s="451"/>
      <c r="K686" s="451"/>
      <c r="L686" s="451"/>
      <c r="M686" s="451"/>
      <c r="N686" s="451"/>
      <c r="O686" s="451"/>
      <c r="P686" s="451"/>
      <c r="Q686" s="451"/>
      <c r="R686" s="451"/>
      <c r="S686" s="445">
        <f t="shared" si="123"/>
        <v>0</v>
      </c>
      <c r="T686" s="451"/>
      <c r="U686" s="451"/>
      <c r="V686" s="451"/>
    </row>
    <row r="687" spans="1:22" s="441" customFormat="1" ht="30">
      <c r="A687" s="572"/>
      <c r="B687" s="572"/>
      <c r="C687" s="589">
        <v>4270</v>
      </c>
      <c r="D687" s="450" t="s">
        <v>109</v>
      </c>
      <c r="E687" s="502">
        <f t="shared" si="119"/>
        <v>7509</v>
      </c>
      <c r="F687" s="445">
        <f t="shared" si="120"/>
        <v>7509</v>
      </c>
      <c r="G687" s="445">
        <f t="shared" si="121"/>
        <v>7509</v>
      </c>
      <c r="H687" s="451">
        <v>7509</v>
      </c>
      <c r="I687" s="445">
        <f t="shared" si="122"/>
        <v>0</v>
      </c>
      <c r="J687" s="451"/>
      <c r="K687" s="451"/>
      <c r="L687" s="451"/>
      <c r="M687" s="451"/>
      <c r="N687" s="451"/>
      <c r="O687" s="451"/>
      <c r="P687" s="451"/>
      <c r="Q687" s="451"/>
      <c r="R687" s="451"/>
      <c r="S687" s="445">
        <f t="shared" si="123"/>
        <v>0</v>
      </c>
      <c r="T687" s="451"/>
      <c r="U687" s="451"/>
      <c r="V687" s="451"/>
    </row>
    <row r="688" spans="1:22" s="441" customFormat="1" ht="15.75">
      <c r="A688" s="572"/>
      <c r="B688" s="572"/>
      <c r="C688" s="589">
        <v>4280</v>
      </c>
      <c r="D688" s="450" t="s">
        <v>110</v>
      </c>
      <c r="E688" s="502">
        <f t="shared" si="119"/>
        <v>370</v>
      </c>
      <c r="F688" s="445">
        <f t="shared" si="120"/>
        <v>370</v>
      </c>
      <c r="G688" s="445">
        <f t="shared" si="121"/>
        <v>370</v>
      </c>
      <c r="H688" s="451">
        <v>370</v>
      </c>
      <c r="I688" s="445">
        <f t="shared" si="122"/>
        <v>0</v>
      </c>
      <c r="J688" s="451"/>
      <c r="K688" s="451"/>
      <c r="L688" s="451"/>
      <c r="M688" s="451"/>
      <c r="N688" s="451"/>
      <c r="O688" s="451"/>
      <c r="P688" s="451"/>
      <c r="Q688" s="451"/>
      <c r="R688" s="451"/>
      <c r="S688" s="445">
        <f t="shared" si="123"/>
        <v>0</v>
      </c>
      <c r="T688" s="451"/>
      <c r="U688" s="451"/>
      <c r="V688" s="451"/>
    </row>
    <row r="689" spans="1:22" s="441" customFormat="1" ht="39.75" customHeight="1">
      <c r="A689" s="572"/>
      <c r="B689" s="572"/>
      <c r="C689" s="589">
        <v>4300</v>
      </c>
      <c r="D689" s="450" t="s">
        <v>207</v>
      </c>
      <c r="E689" s="502">
        <f t="shared" si="119"/>
        <v>4600</v>
      </c>
      <c r="F689" s="445">
        <f t="shared" si="120"/>
        <v>4600</v>
      </c>
      <c r="G689" s="445">
        <f t="shared" si="121"/>
        <v>4600</v>
      </c>
      <c r="H689" s="451">
        <v>4600</v>
      </c>
      <c r="I689" s="445">
        <f t="shared" si="122"/>
        <v>0</v>
      </c>
      <c r="J689" s="451"/>
      <c r="K689" s="451"/>
      <c r="L689" s="451"/>
      <c r="M689" s="451"/>
      <c r="N689" s="451"/>
      <c r="O689" s="451"/>
      <c r="P689" s="451"/>
      <c r="Q689" s="451"/>
      <c r="R689" s="451"/>
      <c r="S689" s="445">
        <f t="shared" si="123"/>
        <v>0</v>
      </c>
      <c r="T689" s="451"/>
      <c r="U689" s="451"/>
      <c r="V689" s="451"/>
    </row>
    <row r="690" spans="1:22" s="441" customFormat="1" ht="42.75" customHeight="1">
      <c r="A690" s="572"/>
      <c r="B690" s="572"/>
      <c r="C690" s="589">
        <v>4350</v>
      </c>
      <c r="D690" s="450" t="s">
        <v>111</v>
      </c>
      <c r="E690" s="502">
        <f t="shared" si="119"/>
        <v>696</v>
      </c>
      <c r="F690" s="445">
        <f t="shared" si="120"/>
        <v>696</v>
      </c>
      <c r="G690" s="445">
        <f t="shared" si="121"/>
        <v>696</v>
      </c>
      <c r="H690" s="451">
        <v>696</v>
      </c>
      <c r="I690" s="445">
        <f t="shared" si="122"/>
        <v>0</v>
      </c>
      <c r="J690" s="451"/>
      <c r="K690" s="451"/>
      <c r="L690" s="451"/>
      <c r="M690" s="451"/>
      <c r="N690" s="451"/>
      <c r="O690" s="451"/>
      <c r="P690" s="451"/>
      <c r="Q690" s="451"/>
      <c r="R690" s="451"/>
      <c r="S690" s="445">
        <f t="shared" si="123"/>
        <v>0</v>
      </c>
      <c r="T690" s="451"/>
      <c r="U690" s="451"/>
      <c r="V690" s="451"/>
    </row>
    <row r="691" spans="1:22" s="441" customFormat="1" ht="60">
      <c r="A691" s="572"/>
      <c r="B691" s="572"/>
      <c r="C691" s="589">
        <v>4370</v>
      </c>
      <c r="D691" s="450" t="s">
        <v>238</v>
      </c>
      <c r="E691" s="502">
        <f t="shared" si="119"/>
        <v>5490</v>
      </c>
      <c r="F691" s="445">
        <f t="shared" si="120"/>
        <v>5490</v>
      </c>
      <c r="G691" s="445">
        <f t="shared" si="121"/>
        <v>5490</v>
      </c>
      <c r="H691" s="451">
        <v>5490</v>
      </c>
      <c r="I691" s="445">
        <f t="shared" si="122"/>
        <v>0</v>
      </c>
      <c r="J691" s="451"/>
      <c r="K691" s="451"/>
      <c r="L691" s="451"/>
      <c r="M691" s="451"/>
      <c r="N691" s="451"/>
      <c r="O691" s="451"/>
      <c r="P691" s="451"/>
      <c r="Q691" s="451"/>
      <c r="R691" s="451"/>
      <c r="S691" s="445">
        <f t="shared" si="123"/>
        <v>0</v>
      </c>
      <c r="T691" s="451"/>
      <c r="U691" s="451"/>
      <c r="V691" s="451"/>
    </row>
    <row r="692" spans="1:22" s="441" customFormat="1" ht="30">
      <c r="A692" s="572"/>
      <c r="B692" s="572"/>
      <c r="C692" s="589">
        <v>4410</v>
      </c>
      <c r="D692" s="450" t="s">
        <v>115</v>
      </c>
      <c r="E692" s="502">
        <f t="shared" si="119"/>
        <v>3630</v>
      </c>
      <c r="F692" s="445">
        <f t="shared" si="120"/>
        <v>3630</v>
      </c>
      <c r="G692" s="445">
        <f t="shared" si="121"/>
        <v>3630</v>
      </c>
      <c r="H692" s="451">
        <v>3630</v>
      </c>
      <c r="I692" s="445">
        <f t="shared" si="122"/>
        <v>0</v>
      </c>
      <c r="J692" s="451"/>
      <c r="K692" s="451"/>
      <c r="L692" s="451"/>
      <c r="M692" s="451"/>
      <c r="N692" s="451"/>
      <c r="O692" s="451"/>
      <c r="P692" s="451"/>
      <c r="Q692" s="451"/>
      <c r="R692" s="451"/>
      <c r="S692" s="445">
        <f t="shared" si="123"/>
        <v>0</v>
      </c>
      <c r="T692" s="451"/>
      <c r="U692" s="451"/>
      <c r="V692" s="451"/>
    </row>
    <row r="693" spans="1:22" s="441" customFormat="1" ht="15.75">
      <c r="A693" s="572"/>
      <c r="B693" s="572"/>
      <c r="C693" s="589">
        <v>4430</v>
      </c>
      <c r="D693" s="450" t="s">
        <v>116</v>
      </c>
      <c r="E693" s="502">
        <f t="shared" si="119"/>
        <v>450</v>
      </c>
      <c r="F693" s="445">
        <f t="shared" si="120"/>
        <v>450</v>
      </c>
      <c r="G693" s="445">
        <f t="shared" si="121"/>
        <v>450</v>
      </c>
      <c r="H693" s="451">
        <v>450</v>
      </c>
      <c r="I693" s="445">
        <f t="shared" si="122"/>
        <v>0</v>
      </c>
      <c r="J693" s="451"/>
      <c r="K693" s="451"/>
      <c r="L693" s="451"/>
      <c r="M693" s="451"/>
      <c r="N693" s="451"/>
      <c r="O693" s="451"/>
      <c r="P693" s="451"/>
      <c r="Q693" s="451"/>
      <c r="R693" s="451"/>
      <c r="S693" s="445">
        <f t="shared" si="123"/>
        <v>0</v>
      </c>
      <c r="T693" s="451"/>
      <c r="U693" s="451"/>
      <c r="V693" s="451"/>
    </row>
    <row r="694" spans="1:22" s="441" customFormat="1" ht="57" customHeight="1">
      <c r="A694" s="572"/>
      <c r="B694" s="572"/>
      <c r="C694" s="589">
        <v>4440</v>
      </c>
      <c r="D694" s="450" t="s">
        <v>117</v>
      </c>
      <c r="E694" s="502">
        <f t="shared" si="119"/>
        <v>30205</v>
      </c>
      <c r="F694" s="445">
        <f t="shared" si="120"/>
        <v>30205</v>
      </c>
      <c r="G694" s="445">
        <f t="shared" si="121"/>
        <v>30205</v>
      </c>
      <c r="H694" s="451">
        <v>30205</v>
      </c>
      <c r="I694" s="445">
        <f t="shared" si="122"/>
        <v>0</v>
      </c>
      <c r="J694" s="451"/>
      <c r="K694" s="451"/>
      <c r="L694" s="451"/>
      <c r="M694" s="451"/>
      <c r="N694" s="451"/>
      <c r="O694" s="451"/>
      <c r="P694" s="451"/>
      <c r="Q694" s="451"/>
      <c r="R694" s="451"/>
      <c r="S694" s="445">
        <f t="shared" si="123"/>
        <v>0</v>
      </c>
      <c r="T694" s="451"/>
      <c r="U694" s="451"/>
      <c r="V694" s="451"/>
    </row>
    <row r="695" spans="1:22" s="441" customFormat="1" ht="41.25" customHeight="1">
      <c r="A695" s="572"/>
      <c r="B695" s="572"/>
      <c r="C695" s="589">
        <v>4510</v>
      </c>
      <c r="D695" s="450" t="s">
        <v>420</v>
      </c>
      <c r="E695" s="502">
        <f t="shared" si="119"/>
        <v>100</v>
      </c>
      <c r="F695" s="445">
        <f t="shared" si="120"/>
        <v>100</v>
      </c>
      <c r="G695" s="445">
        <f t="shared" si="121"/>
        <v>100</v>
      </c>
      <c r="H695" s="451">
        <v>100</v>
      </c>
      <c r="I695" s="445">
        <f t="shared" si="122"/>
        <v>0</v>
      </c>
      <c r="J695" s="451"/>
      <c r="K695" s="451"/>
      <c r="L695" s="451"/>
      <c r="M695" s="451"/>
      <c r="N695" s="451"/>
      <c r="O695" s="451"/>
      <c r="P695" s="451"/>
      <c r="Q695" s="451"/>
      <c r="R695" s="451"/>
      <c r="S695" s="445">
        <f t="shared" si="123"/>
        <v>0</v>
      </c>
      <c r="T695" s="451"/>
      <c r="U695" s="451"/>
      <c r="V695" s="451"/>
    </row>
    <row r="696" spans="1:22" s="441" customFormat="1" ht="47.25" customHeight="1">
      <c r="A696" s="572"/>
      <c r="B696" s="572"/>
      <c r="C696" s="589">
        <v>4700</v>
      </c>
      <c r="D696" s="450" t="s">
        <v>385</v>
      </c>
      <c r="E696" s="502">
        <f t="shared" si="119"/>
        <v>1370</v>
      </c>
      <c r="F696" s="445">
        <f t="shared" si="120"/>
        <v>1370</v>
      </c>
      <c r="G696" s="445">
        <f t="shared" si="121"/>
        <v>1370</v>
      </c>
      <c r="H696" s="451">
        <v>1370</v>
      </c>
      <c r="I696" s="445">
        <f t="shared" si="122"/>
        <v>0</v>
      </c>
      <c r="J696" s="451"/>
      <c r="K696" s="451"/>
      <c r="L696" s="451"/>
      <c r="M696" s="451"/>
      <c r="N696" s="451"/>
      <c r="O696" s="451"/>
      <c r="P696" s="451"/>
      <c r="Q696" s="451"/>
      <c r="R696" s="451"/>
      <c r="S696" s="445">
        <f t="shared" si="123"/>
        <v>0</v>
      </c>
      <c r="T696" s="451"/>
      <c r="U696" s="451"/>
      <c r="V696" s="451"/>
    </row>
    <row r="697" spans="1:22" s="441" customFormat="1" ht="60" customHeight="1">
      <c r="A697" s="572"/>
      <c r="B697" s="572"/>
      <c r="C697" s="589">
        <v>4740</v>
      </c>
      <c r="D697" s="450" t="s">
        <v>199</v>
      </c>
      <c r="E697" s="502">
        <f t="shared" si="119"/>
        <v>1080</v>
      </c>
      <c r="F697" s="445">
        <f t="shared" si="120"/>
        <v>1080</v>
      </c>
      <c r="G697" s="445">
        <f t="shared" si="121"/>
        <v>1080</v>
      </c>
      <c r="H697" s="451">
        <v>1080</v>
      </c>
      <c r="I697" s="445">
        <f t="shared" si="122"/>
        <v>0</v>
      </c>
      <c r="J697" s="451"/>
      <c r="K697" s="451"/>
      <c r="L697" s="451"/>
      <c r="M697" s="451"/>
      <c r="N697" s="451"/>
      <c r="O697" s="451"/>
      <c r="P697" s="451"/>
      <c r="Q697" s="451"/>
      <c r="R697" s="451"/>
      <c r="S697" s="445">
        <f t="shared" si="123"/>
        <v>0</v>
      </c>
      <c r="T697" s="451"/>
      <c r="U697" s="451"/>
      <c r="V697" s="451"/>
    </row>
    <row r="698" spans="1:22" s="441" customFormat="1" ht="49.5" customHeight="1">
      <c r="A698" s="572"/>
      <c r="B698" s="572"/>
      <c r="C698" s="589">
        <v>4750</v>
      </c>
      <c r="D698" s="450" t="s">
        <v>239</v>
      </c>
      <c r="E698" s="502">
        <f t="shared" si="119"/>
        <v>5772</v>
      </c>
      <c r="F698" s="445">
        <f t="shared" si="120"/>
        <v>5772</v>
      </c>
      <c r="G698" s="445">
        <f t="shared" si="121"/>
        <v>5772</v>
      </c>
      <c r="H698" s="451">
        <v>5772</v>
      </c>
      <c r="I698" s="445">
        <f t="shared" si="122"/>
        <v>0</v>
      </c>
      <c r="J698" s="451"/>
      <c r="K698" s="451"/>
      <c r="L698" s="451"/>
      <c r="M698" s="451"/>
      <c r="N698" s="451"/>
      <c r="O698" s="451"/>
      <c r="P698" s="451"/>
      <c r="Q698" s="451"/>
      <c r="R698" s="451"/>
      <c r="S698" s="445">
        <f t="shared" si="123"/>
        <v>0</v>
      </c>
      <c r="T698" s="451"/>
      <c r="U698" s="451"/>
      <c r="V698" s="451"/>
    </row>
    <row r="699" spans="1:22" s="449" customFormat="1" ht="31.5">
      <c r="A699" s="579"/>
      <c r="B699" s="571">
        <v>85410</v>
      </c>
      <c r="C699" s="588"/>
      <c r="D699" s="262" t="s">
        <v>288</v>
      </c>
      <c r="E699" s="502">
        <f t="shared" si="119"/>
        <v>964194</v>
      </c>
      <c r="F699" s="445">
        <f t="shared" si="120"/>
        <v>964194</v>
      </c>
      <c r="G699" s="445">
        <f t="shared" si="121"/>
        <v>938304</v>
      </c>
      <c r="H699" s="448">
        <f>SUM(H700:H716)</f>
        <v>414137</v>
      </c>
      <c r="I699" s="445">
        <f t="shared" si="122"/>
        <v>524167</v>
      </c>
      <c r="J699" s="448">
        <f>SUM(J700:J716)</f>
        <v>411660</v>
      </c>
      <c r="K699" s="448">
        <f aca="true" t="shared" si="127" ref="K699:R699">SUM(K700:K716)</f>
        <v>29100</v>
      </c>
      <c r="L699" s="448">
        <f t="shared" si="127"/>
        <v>78307</v>
      </c>
      <c r="M699" s="448">
        <f t="shared" si="127"/>
        <v>5100</v>
      </c>
      <c r="N699" s="448">
        <f t="shared" si="127"/>
        <v>25890</v>
      </c>
      <c r="O699" s="448">
        <f t="shared" si="127"/>
        <v>0</v>
      </c>
      <c r="P699" s="448">
        <f>SUM(P700:P716)</f>
        <v>0</v>
      </c>
      <c r="Q699" s="448">
        <f t="shared" si="127"/>
        <v>0</v>
      </c>
      <c r="R699" s="448">
        <f t="shared" si="127"/>
        <v>0</v>
      </c>
      <c r="S699" s="445">
        <f t="shared" si="123"/>
        <v>0</v>
      </c>
      <c r="T699" s="448">
        <f>SUM(T700:T716)</f>
        <v>0</v>
      </c>
      <c r="U699" s="448">
        <f>SUM(U700:U716)</f>
        <v>0</v>
      </c>
      <c r="V699" s="448">
        <f>SUM(V700:V716)</f>
        <v>0</v>
      </c>
    </row>
    <row r="700" spans="1:22" s="441" customFormat="1" ht="45">
      <c r="A700" s="580"/>
      <c r="B700" s="572"/>
      <c r="C700" s="589">
        <v>3020</v>
      </c>
      <c r="D700" s="450" t="s">
        <v>386</v>
      </c>
      <c r="E700" s="502">
        <f t="shared" si="119"/>
        <v>25890</v>
      </c>
      <c r="F700" s="445">
        <f t="shared" si="120"/>
        <v>25890</v>
      </c>
      <c r="G700" s="445">
        <f t="shared" si="121"/>
        <v>0</v>
      </c>
      <c r="H700" s="451"/>
      <c r="I700" s="445">
        <f t="shared" si="122"/>
        <v>0</v>
      </c>
      <c r="J700" s="451"/>
      <c r="K700" s="451"/>
      <c r="L700" s="451"/>
      <c r="M700" s="451"/>
      <c r="N700" s="451">
        <v>25890</v>
      </c>
      <c r="O700" s="451"/>
      <c r="P700" s="451"/>
      <c r="Q700" s="451"/>
      <c r="R700" s="451"/>
      <c r="S700" s="445">
        <f t="shared" si="123"/>
        <v>0</v>
      </c>
      <c r="T700" s="451"/>
      <c r="U700" s="451"/>
      <c r="V700" s="451"/>
    </row>
    <row r="701" spans="1:22" s="441" customFormat="1" ht="30">
      <c r="A701" s="580"/>
      <c r="B701" s="572"/>
      <c r="C701" s="589">
        <v>4010</v>
      </c>
      <c r="D701" s="450" t="s">
        <v>102</v>
      </c>
      <c r="E701" s="502">
        <f t="shared" si="119"/>
        <v>411660</v>
      </c>
      <c r="F701" s="445">
        <f t="shared" si="120"/>
        <v>411660</v>
      </c>
      <c r="G701" s="445">
        <f t="shared" si="121"/>
        <v>411660</v>
      </c>
      <c r="H701" s="451"/>
      <c r="I701" s="445">
        <f t="shared" si="122"/>
        <v>411660</v>
      </c>
      <c r="J701" s="451">
        <v>411660</v>
      </c>
      <c r="K701" s="451"/>
      <c r="L701" s="451"/>
      <c r="M701" s="451"/>
      <c r="N701" s="451"/>
      <c r="O701" s="451"/>
      <c r="P701" s="451"/>
      <c r="Q701" s="451"/>
      <c r="R701" s="451"/>
      <c r="S701" s="445">
        <f t="shared" si="123"/>
        <v>0</v>
      </c>
      <c r="T701" s="451"/>
      <c r="U701" s="451"/>
      <c r="V701" s="451"/>
    </row>
    <row r="702" spans="1:22" s="441" customFormat="1" ht="37.5" customHeight="1">
      <c r="A702" s="580"/>
      <c r="B702" s="572"/>
      <c r="C702" s="589">
        <v>4040</v>
      </c>
      <c r="D702" s="450" t="s">
        <v>103</v>
      </c>
      <c r="E702" s="502">
        <f t="shared" si="119"/>
        <v>29100</v>
      </c>
      <c r="F702" s="445">
        <f t="shared" si="120"/>
        <v>29100</v>
      </c>
      <c r="G702" s="445">
        <f t="shared" si="121"/>
        <v>29100</v>
      </c>
      <c r="H702" s="451"/>
      <c r="I702" s="445">
        <f t="shared" si="122"/>
        <v>29100</v>
      </c>
      <c r="J702" s="451"/>
      <c r="K702" s="451">
        <v>29100</v>
      </c>
      <c r="L702" s="451"/>
      <c r="M702" s="451"/>
      <c r="N702" s="451"/>
      <c r="O702" s="451"/>
      <c r="P702" s="451"/>
      <c r="Q702" s="451"/>
      <c r="R702" s="451"/>
      <c r="S702" s="445">
        <f t="shared" si="123"/>
        <v>0</v>
      </c>
      <c r="T702" s="451"/>
      <c r="U702" s="451"/>
      <c r="V702" s="451"/>
    </row>
    <row r="703" spans="1:22" s="441" customFormat="1" ht="45">
      <c r="A703" s="580"/>
      <c r="B703" s="572"/>
      <c r="C703" s="589">
        <v>4110</v>
      </c>
      <c r="D703" s="450" t="s">
        <v>234</v>
      </c>
      <c r="E703" s="502">
        <f t="shared" si="119"/>
        <v>68850</v>
      </c>
      <c r="F703" s="445">
        <f t="shared" si="120"/>
        <v>68850</v>
      </c>
      <c r="G703" s="445">
        <f t="shared" si="121"/>
        <v>68850</v>
      </c>
      <c r="H703" s="451"/>
      <c r="I703" s="445">
        <f t="shared" si="122"/>
        <v>68850</v>
      </c>
      <c r="J703" s="451"/>
      <c r="K703" s="451"/>
      <c r="L703" s="451">
        <v>68850</v>
      </c>
      <c r="M703" s="451"/>
      <c r="N703" s="451"/>
      <c r="O703" s="451"/>
      <c r="P703" s="451"/>
      <c r="Q703" s="451"/>
      <c r="R703" s="451"/>
      <c r="S703" s="445">
        <f t="shared" si="123"/>
        <v>0</v>
      </c>
      <c r="T703" s="451"/>
      <c r="U703" s="451"/>
      <c r="V703" s="451"/>
    </row>
    <row r="704" spans="1:22" s="441" customFormat="1" ht="30">
      <c r="A704" s="580"/>
      <c r="B704" s="572"/>
      <c r="C704" s="589">
        <v>4120</v>
      </c>
      <c r="D704" s="450" t="s">
        <v>105</v>
      </c>
      <c r="E704" s="502">
        <f t="shared" si="119"/>
        <v>9457</v>
      </c>
      <c r="F704" s="445">
        <f t="shared" si="120"/>
        <v>9457</v>
      </c>
      <c r="G704" s="445">
        <f t="shared" si="121"/>
        <v>9457</v>
      </c>
      <c r="H704" s="451"/>
      <c r="I704" s="445">
        <f t="shared" si="122"/>
        <v>9457</v>
      </c>
      <c r="J704" s="451"/>
      <c r="K704" s="451"/>
      <c r="L704" s="451">
        <v>9457</v>
      </c>
      <c r="M704" s="451"/>
      <c r="N704" s="451"/>
      <c r="O704" s="451"/>
      <c r="P704" s="451"/>
      <c r="Q704" s="451"/>
      <c r="R704" s="451"/>
      <c r="S704" s="445">
        <f t="shared" si="123"/>
        <v>0</v>
      </c>
      <c r="T704" s="451"/>
      <c r="U704" s="451"/>
      <c r="V704" s="451"/>
    </row>
    <row r="705" spans="1:22" s="441" customFormat="1" ht="48" customHeight="1">
      <c r="A705" s="580"/>
      <c r="B705" s="572"/>
      <c r="C705" s="589">
        <v>4170</v>
      </c>
      <c r="D705" s="450" t="s">
        <v>270</v>
      </c>
      <c r="E705" s="502">
        <f t="shared" si="119"/>
        <v>5100</v>
      </c>
      <c r="F705" s="445">
        <f t="shared" si="120"/>
        <v>5100</v>
      </c>
      <c r="G705" s="445">
        <f t="shared" si="121"/>
        <v>5100</v>
      </c>
      <c r="H705" s="451"/>
      <c r="I705" s="445">
        <f t="shared" si="122"/>
        <v>5100</v>
      </c>
      <c r="J705" s="451"/>
      <c r="K705" s="451"/>
      <c r="L705" s="451"/>
      <c r="M705" s="451">
        <v>5100</v>
      </c>
      <c r="N705" s="451"/>
      <c r="O705" s="451"/>
      <c r="P705" s="451"/>
      <c r="Q705" s="451"/>
      <c r="R705" s="451"/>
      <c r="S705" s="445">
        <f t="shared" si="123"/>
        <v>0</v>
      </c>
      <c r="T705" s="451"/>
      <c r="U705" s="451"/>
      <c r="V705" s="451"/>
    </row>
    <row r="706" spans="1:22" s="441" customFormat="1" ht="30">
      <c r="A706" s="580"/>
      <c r="B706" s="572"/>
      <c r="C706" s="589">
        <v>4210</v>
      </c>
      <c r="D706" s="450" t="s">
        <v>107</v>
      </c>
      <c r="E706" s="502">
        <f aca="true" t="shared" si="128" ref="E706:E776">F706+S706</f>
        <v>284940</v>
      </c>
      <c r="F706" s="445">
        <f t="shared" si="120"/>
        <v>284940</v>
      </c>
      <c r="G706" s="445">
        <f t="shared" si="121"/>
        <v>284940</v>
      </c>
      <c r="H706" s="451">
        <v>284940</v>
      </c>
      <c r="I706" s="445">
        <f t="shared" si="122"/>
        <v>0</v>
      </c>
      <c r="J706" s="451"/>
      <c r="K706" s="451"/>
      <c r="L706" s="451"/>
      <c r="M706" s="451"/>
      <c r="N706" s="451"/>
      <c r="O706" s="451"/>
      <c r="P706" s="451"/>
      <c r="Q706" s="451"/>
      <c r="R706" s="451"/>
      <c r="S706" s="445">
        <f t="shared" si="123"/>
        <v>0</v>
      </c>
      <c r="T706" s="451"/>
      <c r="U706" s="451"/>
      <c r="V706" s="451"/>
    </row>
    <row r="707" spans="1:22" s="441" customFormat="1" ht="15.75">
      <c r="A707" s="580"/>
      <c r="B707" s="572"/>
      <c r="C707" s="589">
        <v>4260</v>
      </c>
      <c r="D707" s="450" t="s">
        <v>108</v>
      </c>
      <c r="E707" s="502">
        <f t="shared" si="128"/>
        <v>36240</v>
      </c>
      <c r="F707" s="445">
        <f aca="true" t="shared" si="129" ref="F707:F777">G707+N707+O707+P707+Q707+R707</f>
        <v>36240</v>
      </c>
      <c r="G707" s="445">
        <f aca="true" t="shared" si="130" ref="G707:G778">H707+I707</f>
        <v>36240</v>
      </c>
      <c r="H707" s="451">
        <v>36240</v>
      </c>
      <c r="I707" s="445">
        <f aca="true" t="shared" si="131" ref="I707:I776">SUM(J707:M707)</f>
        <v>0</v>
      </c>
      <c r="J707" s="451"/>
      <c r="K707" s="451"/>
      <c r="L707" s="451"/>
      <c r="M707" s="451"/>
      <c r="N707" s="451"/>
      <c r="O707" s="451"/>
      <c r="P707" s="451"/>
      <c r="Q707" s="451"/>
      <c r="R707" s="451"/>
      <c r="S707" s="445">
        <f aca="true" t="shared" si="132" ref="S707:S778">T707+V707</f>
        <v>0</v>
      </c>
      <c r="T707" s="451"/>
      <c r="U707" s="451"/>
      <c r="V707" s="451"/>
    </row>
    <row r="708" spans="1:22" s="441" customFormat="1" ht="30">
      <c r="A708" s="580"/>
      <c r="B708" s="572"/>
      <c r="C708" s="589">
        <v>4270</v>
      </c>
      <c r="D708" s="450" t="s">
        <v>109</v>
      </c>
      <c r="E708" s="502">
        <f t="shared" si="128"/>
        <v>48190</v>
      </c>
      <c r="F708" s="445">
        <f t="shared" si="129"/>
        <v>48190</v>
      </c>
      <c r="G708" s="445">
        <f t="shared" si="130"/>
        <v>48190</v>
      </c>
      <c r="H708" s="451">
        <v>48190</v>
      </c>
      <c r="I708" s="445">
        <f t="shared" si="131"/>
        <v>0</v>
      </c>
      <c r="J708" s="451"/>
      <c r="K708" s="451"/>
      <c r="L708" s="451"/>
      <c r="M708" s="451"/>
      <c r="N708" s="451"/>
      <c r="O708" s="451"/>
      <c r="P708" s="451"/>
      <c r="Q708" s="451"/>
      <c r="R708" s="451"/>
      <c r="S708" s="445">
        <f t="shared" si="132"/>
        <v>0</v>
      </c>
      <c r="T708" s="451"/>
      <c r="U708" s="451"/>
      <c r="V708" s="451"/>
    </row>
    <row r="709" spans="1:22" s="441" customFormat="1" ht="27.75" customHeight="1">
      <c r="A709" s="580"/>
      <c r="B709" s="572"/>
      <c r="C709" s="589">
        <v>4280</v>
      </c>
      <c r="D709" s="450" t="s">
        <v>110</v>
      </c>
      <c r="E709" s="502">
        <f t="shared" si="128"/>
        <v>270</v>
      </c>
      <c r="F709" s="445">
        <f t="shared" si="129"/>
        <v>270</v>
      </c>
      <c r="G709" s="445">
        <f t="shared" si="130"/>
        <v>270</v>
      </c>
      <c r="H709" s="451">
        <v>270</v>
      </c>
      <c r="I709" s="445">
        <f t="shared" si="131"/>
        <v>0</v>
      </c>
      <c r="J709" s="451"/>
      <c r="K709" s="451"/>
      <c r="L709" s="451"/>
      <c r="M709" s="451"/>
      <c r="N709" s="451"/>
      <c r="O709" s="451"/>
      <c r="P709" s="451"/>
      <c r="Q709" s="451"/>
      <c r="R709" s="451"/>
      <c r="S709" s="445">
        <f t="shared" si="132"/>
        <v>0</v>
      </c>
      <c r="T709" s="451"/>
      <c r="U709" s="451"/>
      <c r="V709" s="451"/>
    </row>
    <row r="710" spans="1:22" s="441" customFormat="1" ht="51" customHeight="1">
      <c r="A710" s="580"/>
      <c r="B710" s="572"/>
      <c r="C710" s="589">
        <v>4300</v>
      </c>
      <c r="D710" s="450" t="s">
        <v>207</v>
      </c>
      <c r="E710" s="502">
        <f t="shared" si="128"/>
        <v>17550</v>
      </c>
      <c r="F710" s="445">
        <f t="shared" si="129"/>
        <v>17550</v>
      </c>
      <c r="G710" s="445">
        <f t="shared" si="130"/>
        <v>17550</v>
      </c>
      <c r="H710" s="451">
        <v>17550</v>
      </c>
      <c r="I710" s="445">
        <f t="shared" si="131"/>
        <v>0</v>
      </c>
      <c r="J710" s="451"/>
      <c r="K710" s="451"/>
      <c r="L710" s="451"/>
      <c r="M710" s="451"/>
      <c r="N710" s="451"/>
      <c r="O710" s="451"/>
      <c r="P710" s="451"/>
      <c r="Q710" s="451"/>
      <c r="R710" s="451"/>
      <c r="S710" s="445">
        <f t="shared" si="132"/>
        <v>0</v>
      </c>
      <c r="T710" s="451"/>
      <c r="U710" s="451"/>
      <c r="V710" s="451"/>
    </row>
    <row r="711" spans="1:22" s="441" customFormat="1" ht="60">
      <c r="A711" s="580"/>
      <c r="B711" s="572"/>
      <c r="C711" s="589">
        <v>4360</v>
      </c>
      <c r="D711" s="450" t="s">
        <v>245</v>
      </c>
      <c r="E711" s="502">
        <f t="shared" si="128"/>
        <v>990</v>
      </c>
      <c r="F711" s="445">
        <f t="shared" si="129"/>
        <v>990</v>
      </c>
      <c r="G711" s="445">
        <f t="shared" si="130"/>
        <v>990</v>
      </c>
      <c r="H711" s="451">
        <v>990</v>
      </c>
      <c r="I711" s="445">
        <f t="shared" si="131"/>
        <v>0</v>
      </c>
      <c r="J711" s="451"/>
      <c r="K711" s="451"/>
      <c r="L711" s="451"/>
      <c r="M711" s="451"/>
      <c r="N711" s="451"/>
      <c r="O711" s="451"/>
      <c r="P711" s="451"/>
      <c r="Q711" s="451"/>
      <c r="R711" s="451"/>
      <c r="S711" s="445">
        <f t="shared" si="132"/>
        <v>0</v>
      </c>
      <c r="T711" s="451"/>
      <c r="U711" s="451"/>
      <c r="V711" s="451"/>
    </row>
    <row r="712" spans="1:22" s="441" customFormat="1" ht="60">
      <c r="A712" s="580"/>
      <c r="B712" s="572"/>
      <c r="C712" s="589">
        <v>4370</v>
      </c>
      <c r="D712" s="450" t="s">
        <v>238</v>
      </c>
      <c r="E712" s="502">
        <f t="shared" si="128"/>
        <v>1720</v>
      </c>
      <c r="F712" s="445">
        <f t="shared" si="129"/>
        <v>1720</v>
      </c>
      <c r="G712" s="445">
        <f t="shared" si="130"/>
        <v>1720</v>
      </c>
      <c r="H712" s="451">
        <v>1720</v>
      </c>
      <c r="I712" s="445">
        <f t="shared" si="131"/>
        <v>0</v>
      </c>
      <c r="J712" s="451"/>
      <c r="K712" s="451"/>
      <c r="L712" s="451"/>
      <c r="M712" s="451"/>
      <c r="N712" s="451"/>
      <c r="O712" s="451"/>
      <c r="P712" s="451"/>
      <c r="Q712" s="451"/>
      <c r="R712" s="451"/>
      <c r="S712" s="445">
        <f t="shared" si="132"/>
        <v>0</v>
      </c>
      <c r="T712" s="451"/>
      <c r="U712" s="451"/>
      <c r="V712" s="451"/>
    </row>
    <row r="713" spans="1:22" s="441" customFormat="1" ht="30">
      <c r="A713" s="580"/>
      <c r="B713" s="572"/>
      <c r="C713" s="589">
        <v>4410</v>
      </c>
      <c r="D713" s="450" t="s">
        <v>115</v>
      </c>
      <c r="E713" s="502">
        <f t="shared" si="128"/>
        <v>410</v>
      </c>
      <c r="F713" s="445">
        <f t="shared" si="129"/>
        <v>410</v>
      </c>
      <c r="G713" s="445">
        <f t="shared" si="130"/>
        <v>410</v>
      </c>
      <c r="H713" s="451">
        <v>410</v>
      </c>
      <c r="I713" s="445">
        <f t="shared" si="131"/>
        <v>0</v>
      </c>
      <c r="J713" s="451"/>
      <c r="K713" s="451"/>
      <c r="L713" s="451"/>
      <c r="M713" s="451"/>
      <c r="N713" s="451"/>
      <c r="O713" s="451"/>
      <c r="P713" s="451"/>
      <c r="Q713" s="451"/>
      <c r="R713" s="451"/>
      <c r="S713" s="445">
        <f t="shared" si="132"/>
        <v>0</v>
      </c>
      <c r="T713" s="451"/>
      <c r="U713" s="451"/>
      <c r="V713" s="451"/>
    </row>
    <row r="714" spans="1:22" s="441" customFormat="1" ht="15.75">
      <c r="A714" s="580"/>
      <c r="B714" s="572"/>
      <c r="C714" s="589">
        <v>4430</v>
      </c>
      <c r="D714" s="450" t="s">
        <v>116</v>
      </c>
      <c r="E714" s="502">
        <f t="shared" si="128"/>
        <v>560</v>
      </c>
      <c r="F714" s="445">
        <f t="shared" si="129"/>
        <v>560</v>
      </c>
      <c r="G714" s="445">
        <f t="shared" si="130"/>
        <v>560</v>
      </c>
      <c r="H714" s="451">
        <v>560</v>
      </c>
      <c r="I714" s="445">
        <f t="shared" si="131"/>
        <v>0</v>
      </c>
      <c r="J714" s="451"/>
      <c r="K714" s="451"/>
      <c r="L714" s="451"/>
      <c r="M714" s="451"/>
      <c r="N714" s="451"/>
      <c r="O714" s="451"/>
      <c r="P714" s="451"/>
      <c r="Q714" s="451"/>
      <c r="R714" s="451"/>
      <c r="S714" s="445">
        <f t="shared" si="132"/>
        <v>0</v>
      </c>
      <c r="T714" s="451"/>
      <c r="U714" s="451"/>
      <c r="V714" s="451"/>
    </row>
    <row r="715" spans="1:22" s="441" customFormat="1" ht="46.5" customHeight="1">
      <c r="A715" s="580"/>
      <c r="B715" s="572"/>
      <c r="C715" s="589">
        <v>4440</v>
      </c>
      <c r="D715" s="450" t="s">
        <v>117</v>
      </c>
      <c r="E715" s="502">
        <f t="shared" si="128"/>
        <v>23267</v>
      </c>
      <c r="F715" s="445">
        <f t="shared" si="129"/>
        <v>23267</v>
      </c>
      <c r="G715" s="445">
        <f t="shared" si="130"/>
        <v>23267</v>
      </c>
      <c r="H715" s="451">
        <v>23267</v>
      </c>
      <c r="I715" s="445">
        <f t="shared" si="131"/>
        <v>0</v>
      </c>
      <c r="J715" s="451"/>
      <c r="K715" s="451"/>
      <c r="L715" s="451"/>
      <c r="M715" s="451"/>
      <c r="N715" s="451"/>
      <c r="O715" s="451"/>
      <c r="P715" s="451"/>
      <c r="Q715" s="451"/>
      <c r="R715" s="451"/>
      <c r="S715" s="445">
        <f t="shared" si="132"/>
        <v>0</v>
      </c>
      <c r="T715" s="451"/>
      <c r="U715" s="451"/>
      <c r="V715" s="451"/>
    </row>
    <row r="716" spans="1:22" s="441" customFormat="1" ht="54" customHeight="1" hidden="1">
      <c r="A716" s="570"/>
      <c r="B716" s="570"/>
      <c r="C716" s="589">
        <v>6050</v>
      </c>
      <c r="D716" s="453" t="s">
        <v>178</v>
      </c>
      <c r="E716" s="502">
        <f t="shared" si="128"/>
        <v>0</v>
      </c>
      <c r="F716" s="445">
        <f t="shared" si="129"/>
        <v>0</v>
      </c>
      <c r="G716" s="445">
        <f t="shared" si="130"/>
        <v>0</v>
      </c>
      <c r="H716" s="451"/>
      <c r="I716" s="445">
        <f t="shared" si="131"/>
        <v>0</v>
      </c>
      <c r="J716" s="451"/>
      <c r="K716" s="451"/>
      <c r="L716" s="451"/>
      <c r="M716" s="451"/>
      <c r="N716" s="451"/>
      <c r="O716" s="451"/>
      <c r="P716" s="451"/>
      <c r="Q716" s="451"/>
      <c r="R716" s="451"/>
      <c r="S716" s="445">
        <f t="shared" si="132"/>
        <v>0</v>
      </c>
      <c r="T716" s="451"/>
      <c r="U716" s="451"/>
      <c r="V716" s="451"/>
    </row>
    <row r="717" spans="1:22" s="441" customFormat="1" ht="47.25" customHeight="1" hidden="1">
      <c r="A717" s="570"/>
      <c r="B717" s="584">
        <v>85413</v>
      </c>
      <c r="C717" s="589"/>
      <c r="D717" s="467" t="s">
        <v>212</v>
      </c>
      <c r="E717" s="502">
        <f t="shared" si="128"/>
        <v>0</v>
      </c>
      <c r="F717" s="445">
        <f t="shared" si="129"/>
        <v>0</v>
      </c>
      <c r="G717" s="445">
        <f t="shared" si="130"/>
        <v>0</v>
      </c>
      <c r="H717" s="448">
        <f>SUM(H718:H721)</f>
        <v>0</v>
      </c>
      <c r="I717" s="445">
        <f t="shared" si="131"/>
        <v>0</v>
      </c>
      <c r="J717" s="448">
        <f aca="true" t="shared" si="133" ref="J717:R717">SUM(J718:J721)</f>
        <v>0</v>
      </c>
      <c r="K717" s="448">
        <f t="shared" si="133"/>
        <v>0</v>
      </c>
      <c r="L717" s="448">
        <f t="shared" si="133"/>
        <v>0</v>
      </c>
      <c r="M717" s="448"/>
      <c r="N717" s="448"/>
      <c r="O717" s="448">
        <f t="shared" si="133"/>
        <v>0</v>
      </c>
      <c r="P717" s="448">
        <f>SUM(P718:P721)</f>
        <v>0</v>
      </c>
      <c r="Q717" s="448">
        <f t="shared" si="133"/>
        <v>0</v>
      </c>
      <c r="R717" s="448">
        <f t="shared" si="133"/>
        <v>0</v>
      </c>
      <c r="S717" s="445">
        <f t="shared" si="132"/>
        <v>0</v>
      </c>
      <c r="T717" s="448">
        <f>SUM(T718:T721)</f>
        <v>0</v>
      </c>
      <c r="U717" s="448">
        <f>SUM(U718:U721)</f>
        <v>0</v>
      </c>
      <c r="V717" s="448">
        <f>SUM(V718:V721)</f>
        <v>0</v>
      </c>
    </row>
    <row r="718" spans="1:22" s="441" customFormat="1" ht="30" customHeight="1" hidden="1">
      <c r="A718" s="570"/>
      <c r="B718" s="570"/>
      <c r="C718" s="589">
        <v>4170</v>
      </c>
      <c r="D718" s="453" t="s">
        <v>219</v>
      </c>
      <c r="E718" s="502">
        <f t="shared" si="128"/>
        <v>0</v>
      </c>
      <c r="F718" s="445">
        <f t="shared" si="129"/>
        <v>0</v>
      </c>
      <c r="G718" s="445">
        <f t="shared" si="130"/>
        <v>0</v>
      </c>
      <c r="H718" s="451"/>
      <c r="I718" s="445">
        <f t="shared" si="131"/>
        <v>0</v>
      </c>
      <c r="J718" s="451"/>
      <c r="K718" s="451"/>
      <c r="L718" s="451"/>
      <c r="M718" s="451"/>
      <c r="N718" s="451"/>
      <c r="O718" s="451"/>
      <c r="P718" s="451"/>
      <c r="Q718" s="451"/>
      <c r="R718" s="451"/>
      <c r="S718" s="445">
        <f t="shared" si="132"/>
        <v>0</v>
      </c>
      <c r="T718" s="451"/>
      <c r="U718" s="451"/>
      <c r="V718" s="451"/>
    </row>
    <row r="719" spans="1:22" s="441" customFormat="1" ht="30" customHeight="1" hidden="1">
      <c r="A719" s="570"/>
      <c r="B719" s="570"/>
      <c r="C719" s="589">
        <v>4210</v>
      </c>
      <c r="D719" s="453" t="s">
        <v>107</v>
      </c>
      <c r="E719" s="502">
        <f t="shared" si="128"/>
        <v>0</v>
      </c>
      <c r="F719" s="445">
        <f t="shared" si="129"/>
        <v>0</v>
      </c>
      <c r="G719" s="445">
        <f t="shared" si="130"/>
        <v>0</v>
      </c>
      <c r="H719" s="451"/>
      <c r="I719" s="445">
        <f t="shared" si="131"/>
        <v>0</v>
      </c>
      <c r="J719" s="451"/>
      <c r="K719" s="451"/>
      <c r="L719" s="451"/>
      <c r="M719" s="451"/>
      <c r="N719" s="451"/>
      <c r="O719" s="451"/>
      <c r="P719" s="451"/>
      <c r="Q719" s="451"/>
      <c r="R719" s="451"/>
      <c r="S719" s="445">
        <f t="shared" si="132"/>
        <v>0</v>
      </c>
      <c r="T719" s="451"/>
      <c r="U719" s="451"/>
      <c r="V719" s="451"/>
    </row>
    <row r="720" spans="1:22" s="441" customFormat="1" ht="15.75" customHeight="1" hidden="1">
      <c r="A720" s="570"/>
      <c r="B720" s="570"/>
      <c r="C720" s="589">
        <v>4300</v>
      </c>
      <c r="D720" s="453" t="s">
        <v>207</v>
      </c>
      <c r="E720" s="502">
        <f t="shared" si="128"/>
        <v>0</v>
      </c>
      <c r="F720" s="445">
        <f t="shared" si="129"/>
        <v>0</v>
      </c>
      <c r="G720" s="445">
        <f t="shared" si="130"/>
        <v>0</v>
      </c>
      <c r="H720" s="451"/>
      <c r="I720" s="445">
        <f t="shared" si="131"/>
        <v>0</v>
      </c>
      <c r="J720" s="451"/>
      <c r="K720" s="451"/>
      <c r="L720" s="451"/>
      <c r="M720" s="451"/>
      <c r="N720" s="451"/>
      <c r="O720" s="451"/>
      <c r="P720" s="451"/>
      <c r="Q720" s="451"/>
      <c r="R720" s="451"/>
      <c r="S720" s="445">
        <f t="shared" si="132"/>
        <v>0</v>
      </c>
      <c r="T720" s="451"/>
      <c r="U720" s="451"/>
      <c r="V720" s="451"/>
    </row>
    <row r="721" spans="1:22" s="441" customFormat="1" ht="15.75" customHeight="1" hidden="1">
      <c r="A721" s="570"/>
      <c r="B721" s="570"/>
      <c r="C721" s="589">
        <v>4430</v>
      </c>
      <c r="D721" s="453" t="s">
        <v>116</v>
      </c>
      <c r="E721" s="502">
        <f t="shared" si="128"/>
        <v>0</v>
      </c>
      <c r="F721" s="445">
        <f t="shared" si="129"/>
        <v>0</v>
      </c>
      <c r="G721" s="445">
        <f t="shared" si="130"/>
        <v>0</v>
      </c>
      <c r="H721" s="451"/>
      <c r="I721" s="445">
        <f t="shared" si="131"/>
        <v>0</v>
      </c>
      <c r="J721" s="451"/>
      <c r="K721" s="451"/>
      <c r="L721" s="451"/>
      <c r="M721" s="451"/>
      <c r="N721" s="451"/>
      <c r="O721" s="451"/>
      <c r="P721" s="451"/>
      <c r="Q721" s="451"/>
      <c r="R721" s="451"/>
      <c r="S721" s="445">
        <f t="shared" si="132"/>
        <v>0</v>
      </c>
      <c r="T721" s="451"/>
      <c r="U721" s="451"/>
      <c r="V721" s="451"/>
    </row>
    <row r="722" spans="1:22" s="449" customFormat="1" ht="31.5">
      <c r="A722" s="579"/>
      <c r="B722" s="571">
        <v>85415</v>
      </c>
      <c r="C722" s="588"/>
      <c r="D722" s="262" t="s">
        <v>289</v>
      </c>
      <c r="E722" s="502">
        <f t="shared" si="128"/>
        <v>79000</v>
      </c>
      <c r="F722" s="445">
        <f t="shared" si="129"/>
        <v>79000</v>
      </c>
      <c r="G722" s="445">
        <f t="shared" si="130"/>
        <v>0</v>
      </c>
      <c r="H722" s="448">
        <f>SUM(H723:H723)</f>
        <v>0</v>
      </c>
      <c r="I722" s="445">
        <f t="shared" si="131"/>
        <v>0</v>
      </c>
      <c r="J722" s="448">
        <f aca="true" t="shared" si="134" ref="J722:V722">SUM(J723:J723)</f>
        <v>0</v>
      </c>
      <c r="K722" s="448">
        <f t="shared" si="134"/>
        <v>0</v>
      </c>
      <c r="L722" s="448">
        <f t="shared" si="134"/>
        <v>0</v>
      </c>
      <c r="M722" s="448">
        <f t="shared" si="134"/>
        <v>0</v>
      </c>
      <c r="N722" s="448">
        <f t="shared" si="134"/>
        <v>79000</v>
      </c>
      <c r="O722" s="448">
        <f t="shared" si="134"/>
        <v>0</v>
      </c>
      <c r="P722" s="448">
        <f t="shared" si="134"/>
        <v>0</v>
      </c>
      <c r="Q722" s="448">
        <f t="shared" si="134"/>
        <v>0</v>
      </c>
      <c r="R722" s="448">
        <f t="shared" si="134"/>
        <v>0</v>
      </c>
      <c r="S722" s="445">
        <f t="shared" si="132"/>
        <v>0</v>
      </c>
      <c r="T722" s="448">
        <f t="shared" si="134"/>
        <v>0</v>
      </c>
      <c r="U722" s="448">
        <f t="shared" si="134"/>
        <v>0</v>
      </c>
      <c r="V722" s="448">
        <f t="shared" si="134"/>
        <v>0</v>
      </c>
    </row>
    <row r="723" spans="1:22" s="441" customFormat="1" ht="47.25" customHeight="1">
      <c r="A723" s="580"/>
      <c r="B723" s="572"/>
      <c r="C723" s="589">
        <v>3240</v>
      </c>
      <c r="D723" s="450" t="s">
        <v>290</v>
      </c>
      <c r="E723" s="502">
        <f t="shared" si="128"/>
        <v>79000</v>
      </c>
      <c r="F723" s="445">
        <f t="shared" si="129"/>
        <v>79000</v>
      </c>
      <c r="G723" s="445">
        <f t="shared" si="130"/>
        <v>0</v>
      </c>
      <c r="H723" s="600"/>
      <c r="I723" s="445">
        <f t="shared" si="131"/>
        <v>0</v>
      </c>
      <c r="J723" s="451"/>
      <c r="K723" s="451"/>
      <c r="L723" s="451"/>
      <c r="M723" s="451"/>
      <c r="N723" s="451">
        <v>79000</v>
      </c>
      <c r="O723" s="451"/>
      <c r="P723" s="451"/>
      <c r="Q723" s="451"/>
      <c r="R723" s="451"/>
      <c r="S723" s="445">
        <f t="shared" si="132"/>
        <v>0</v>
      </c>
      <c r="T723" s="451"/>
      <c r="U723" s="451"/>
      <c r="V723" s="451"/>
    </row>
    <row r="724" spans="1:22" s="449" customFormat="1" ht="47.25">
      <c r="A724" s="579"/>
      <c r="B724" s="571">
        <v>85446</v>
      </c>
      <c r="C724" s="588"/>
      <c r="D724" s="262" t="s">
        <v>250</v>
      </c>
      <c r="E724" s="502">
        <f t="shared" si="128"/>
        <v>8770</v>
      </c>
      <c r="F724" s="445">
        <f t="shared" si="129"/>
        <v>8770</v>
      </c>
      <c r="G724" s="445">
        <f t="shared" si="130"/>
        <v>8770</v>
      </c>
      <c r="H724" s="448">
        <f>SUM(H725:H726)</f>
        <v>8770</v>
      </c>
      <c r="I724" s="445">
        <f t="shared" si="131"/>
        <v>0</v>
      </c>
      <c r="J724" s="448">
        <f>SUM(J725:J726)</f>
        <v>0</v>
      </c>
      <c r="K724" s="448">
        <f aca="true" t="shared" si="135" ref="K724:R724">SUM(K725:K726)</f>
        <v>0</v>
      </c>
      <c r="L724" s="448">
        <f t="shared" si="135"/>
        <v>0</v>
      </c>
      <c r="M724" s="448">
        <f t="shared" si="135"/>
        <v>0</v>
      </c>
      <c r="N724" s="448">
        <f t="shared" si="135"/>
        <v>0</v>
      </c>
      <c r="O724" s="448">
        <f t="shared" si="135"/>
        <v>0</v>
      </c>
      <c r="P724" s="448">
        <f>SUM(P725:P726)</f>
        <v>0</v>
      </c>
      <c r="Q724" s="448">
        <f t="shared" si="135"/>
        <v>0</v>
      </c>
      <c r="R724" s="448">
        <f t="shared" si="135"/>
        <v>0</v>
      </c>
      <c r="S724" s="445">
        <f t="shared" si="132"/>
        <v>0</v>
      </c>
      <c r="T724" s="448">
        <f>SUM(T725:T726)</f>
        <v>0</v>
      </c>
      <c r="U724" s="448">
        <f>SUM(U725:U726)</f>
        <v>0</v>
      </c>
      <c r="V724" s="448">
        <f>SUM(V725:V726)</f>
        <v>0</v>
      </c>
    </row>
    <row r="725" spans="1:22" s="441" customFormat="1" ht="27.75" customHeight="1">
      <c r="A725" s="580"/>
      <c r="B725" s="572"/>
      <c r="C725" s="589">
        <v>4300</v>
      </c>
      <c r="D725" s="450" t="s">
        <v>207</v>
      </c>
      <c r="E725" s="502">
        <f t="shared" si="128"/>
        <v>7180</v>
      </c>
      <c r="F725" s="445">
        <f t="shared" si="129"/>
        <v>7180</v>
      </c>
      <c r="G725" s="445">
        <f t="shared" si="130"/>
        <v>7180</v>
      </c>
      <c r="H725" s="451">
        <v>7180</v>
      </c>
      <c r="I725" s="445">
        <f t="shared" si="131"/>
        <v>0</v>
      </c>
      <c r="J725" s="451"/>
      <c r="K725" s="451"/>
      <c r="L725" s="451"/>
      <c r="M725" s="451"/>
      <c r="N725" s="451"/>
      <c r="O725" s="451"/>
      <c r="P725" s="451"/>
      <c r="Q725" s="451"/>
      <c r="R725" s="451"/>
      <c r="S725" s="445">
        <f t="shared" si="132"/>
        <v>0</v>
      </c>
      <c r="T725" s="451"/>
      <c r="U725" s="451"/>
      <c r="V725" s="451"/>
    </row>
    <row r="726" spans="1:22" s="441" customFormat="1" ht="30">
      <c r="A726" s="580"/>
      <c r="B726" s="572"/>
      <c r="C726" s="589">
        <v>4410</v>
      </c>
      <c r="D726" s="450" t="s">
        <v>115</v>
      </c>
      <c r="E726" s="502">
        <f t="shared" si="128"/>
        <v>1590</v>
      </c>
      <c r="F726" s="445">
        <f t="shared" si="129"/>
        <v>1590</v>
      </c>
      <c r="G726" s="445">
        <f t="shared" si="130"/>
        <v>1590</v>
      </c>
      <c r="H726" s="451">
        <v>1590</v>
      </c>
      <c r="I726" s="445">
        <f t="shared" si="131"/>
        <v>0</v>
      </c>
      <c r="J726" s="451"/>
      <c r="K726" s="451"/>
      <c r="L726" s="451"/>
      <c r="M726" s="451"/>
      <c r="N726" s="451"/>
      <c r="O726" s="451"/>
      <c r="P726" s="451"/>
      <c r="Q726" s="451"/>
      <c r="R726" s="451"/>
      <c r="S726" s="445">
        <f t="shared" si="132"/>
        <v>0</v>
      </c>
      <c r="T726" s="451"/>
      <c r="U726" s="451"/>
      <c r="V726" s="451"/>
    </row>
    <row r="727" spans="1:22" s="449" customFormat="1" ht="15.75">
      <c r="A727" s="579"/>
      <c r="B727" s="571">
        <v>85495</v>
      </c>
      <c r="C727" s="588"/>
      <c r="D727" s="262" t="s">
        <v>224</v>
      </c>
      <c r="E727" s="502">
        <f t="shared" si="128"/>
        <v>14097</v>
      </c>
      <c r="F727" s="445">
        <f t="shared" si="129"/>
        <v>14097</v>
      </c>
      <c r="G727" s="445">
        <f t="shared" si="130"/>
        <v>14097</v>
      </c>
      <c r="H727" s="448">
        <f>SUM(H728:H731)</f>
        <v>8550</v>
      </c>
      <c r="I727" s="445">
        <f t="shared" si="131"/>
        <v>5547</v>
      </c>
      <c r="J727" s="448">
        <f>SUM(J728:J731)</f>
        <v>4718</v>
      </c>
      <c r="K727" s="448">
        <f aca="true" t="shared" si="136" ref="K727:R727">SUM(K728:K731)</f>
        <v>0</v>
      </c>
      <c r="L727" s="448">
        <f t="shared" si="136"/>
        <v>829</v>
      </c>
      <c r="M727" s="448">
        <f t="shared" si="136"/>
        <v>0</v>
      </c>
      <c r="N727" s="448">
        <f t="shared" si="136"/>
        <v>0</v>
      </c>
      <c r="O727" s="448">
        <f t="shared" si="136"/>
        <v>0</v>
      </c>
      <c r="P727" s="448">
        <f>SUM(P728:P731)</f>
        <v>0</v>
      </c>
      <c r="Q727" s="448">
        <f t="shared" si="136"/>
        <v>0</v>
      </c>
      <c r="R727" s="448">
        <f t="shared" si="136"/>
        <v>0</v>
      </c>
      <c r="S727" s="445">
        <f t="shared" si="132"/>
        <v>0</v>
      </c>
      <c r="T727" s="448">
        <f>SUM(T728:T731)</f>
        <v>0</v>
      </c>
      <c r="U727" s="448">
        <f>SUM(U728:U731)</f>
        <v>0</v>
      </c>
      <c r="V727" s="448">
        <f>SUM(V728:V731)</f>
        <v>0</v>
      </c>
    </row>
    <row r="728" spans="1:22" s="441" customFormat="1" ht="45.75" customHeight="1">
      <c r="A728" s="580"/>
      <c r="B728" s="572"/>
      <c r="C728" s="589">
        <v>4440</v>
      </c>
      <c r="D728" s="450" t="s">
        <v>117</v>
      </c>
      <c r="E728" s="502">
        <f t="shared" si="128"/>
        <v>8550</v>
      </c>
      <c r="F728" s="445">
        <f t="shared" si="129"/>
        <v>8550</v>
      </c>
      <c r="G728" s="445">
        <f t="shared" si="130"/>
        <v>8550</v>
      </c>
      <c r="H728" s="451">
        <v>8550</v>
      </c>
      <c r="I728" s="445">
        <f t="shared" si="131"/>
        <v>0</v>
      </c>
      <c r="J728" s="451"/>
      <c r="K728" s="451"/>
      <c r="L728" s="451"/>
      <c r="M728" s="451"/>
      <c r="N728" s="451"/>
      <c r="O728" s="451"/>
      <c r="P728" s="451"/>
      <c r="Q728" s="451"/>
      <c r="R728" s="451"/>
      <c r="S728" s="445">
        <f t="shared" si="132"/>
        <v>0</v>
      </c>
      <c r="T728" s="451"/>
      <c r="U728" s="451"/>
      <c r="V728" s="451"/>
    </row>
    <row r="729" spans="1:22" s="441" customFormat="1" ht="30" customHeight="1">
      <c r="A729" s="572"/>
      <c r="B729" s="572"/>
      <c r="C729" s="589">
        <v>4010</v>
      </c>
      <c r="D729" s="450" t="s">
        <v>102</v>
      </c>
      <c r="E729" s="502">
        <f t="shared" si="128"/>
        <v>4718</v>
      </c>
      <c r="F729" s="445">
        <f t="shared" si="129"/>
        <v>4718</v>
      </c>
      <c r="G729" s="445">
        <f t="shared" si="130"/>
        <v>4718</v>
      </c>
      <c r="H729" s="451"/>
      <c r="I729" s="445">
        <f t="shared" si="131"/>
        <v>4718</v>
      </c>
      <c r="J729" s="451">
        <v>4718</v>
      </c>
      <c r="K729" s="451"/>
      <c r="L729" s="451"/>
      <c r="M729" s="451"/>
      <c r="N729" s="451"/>
      <c r="O729" s="451"/>
      <c r="P729" s="451"/>
      <c r="Q729" s="451"/>
      <c r="R729" s="451"/>
      <c r="S729" s="445">
        <f t="shared" si="132"/>
        <v>0</v>
      </c>
      <c r="T729" s="451"/>
      <c r="U729" s="451"/>
      <c r="V729" s="451"/>
    </row>
    <row r="730" spans="1:22" s="441" customFormat="1" ht="45" customHeight="1">
      <c r="A730" s="572"/>
      <c r="B730" s="572"/>
      <c r="C730" s="589">
        <v>4110</v>
      </c>
      <c r="D730" s="450" t="s">
        <v>234</v>
      </c>
      <c r="E730" s="502">
        <f t="shared" si="128"/>
        <v>713</v>
      </c>
      <c r="F730" s="445">
        <f t="shared" si="129"/>
        <v>713</v>
      </c>
      <c r="G730" s="445">
        <f t="shared" si="130"/>
        <v>713</v>
      </c>
      <c r="H730" s="451"/>
      <c r="I730" s="445">
        <f t="shared" si="131"/>
        <v>713</v>
      </c>
      <c r="J730" s="451"/>
      <c r="K730" s="451"/>
      <c r="L730" s="451">
        <v>713</v>
      </c>
      <c r="M730" s="451"/>
      <c r="N730" s="451"/>
      <c r="O730" s="451"/>
      <c r="P730" s="451"/>
      <c r="Q730" s="451"/>
      <c r="R730" s="451"/>
      <c r="S730" s="445">
        <f t="shared" si="132"/>
        <v>0</v>
      </c>
      <c r="T730" s="451"/>
      <c r="U730" s="451"/>
      <c r="V730" s="451"/>
    </row>
    <row r="731" spans="1:22" s="441" customFormat="1" ht="30" customHeight="1">
      <c r="A731" s="572"/>
      <c r="B731" s="572"/>
      <c r="C731" s="589">
        <v>4120</v>
      </c>
      <c r="D731" s="450" t="s">
        <v>105</v>
      </c>
      <c r="E731" s="502">
        <f t="shared" si="128"/>
        <v>116</v>
      </c>
      <c r="F731" s="445">
        <f t="shared" si="129"/>
        <v>116</v>
      </c>
      <c r="G731" s="445">
        <f t="shared" si="130"/>
        <v>116</v>
      </c>
      <c r="H731" s="451"/>
      <c r="I731" s="445">
        <f t="shared" si="131"/>
        <v>116</v>
      </c>
      <c r="J731" s="451"/>
      <c r="K731" s="451"/>
      <c r="L731" s="451">
        <v>116</v>
      </c>
      <c r="M731" s="451"/>
      <c r="N731" s="451"/>
      <c r="O731" s="451"/>
      <c r="P731" s="451"/>
      <c r="Q731" s="451"/>
      <c r="R731" s="451"/>
      <c r="S731" s="445">
        <f t="shared" si="132"/>
        <v>0</v>
      </c>
      <c r="T731" s="451"/>
      <c r="U731" s="451"/>
      <c r="V731" s="451"/>
    </row>
    <row r="732" spans="1:22" s="449" customFormat="1" ht="24">
      <c r="A732" s="609">
        <v>900</v>
      </c>
      <c r="B732" s="609"/>
      <c r="C732" s="610"/>
      <c r="D732" s="611" t="s">
        <v>27</v>
      </c>
      <c r="E732" s="502">
        <f aca="true" t="shared" si="137" ref="E732:E744">F732+S732</f>
        <v>1589172</v>
      </c>
      <c r="F732" s="445">
        <f aca="true" t="shared" si="138" ref="F732:F744">G732+N732+O732+P732+Q732+R732</f>
        <v>241254</v>
      </c>
      <c r="G732" s="445">
        <f aca="true" t="shared" si="139" ref="G732:G744">H732+I732</f>
        <v>201254</v>
      </c>
      <c r="H732" s="445">
        <f aca="true" t="shared" si="140" ref="H732:V732">SUM(H733)</f>
        <v>201254</v>
      </c>
      <c r="I732" s="445">
        <f aca="true" t="shared" si="141" ref="I732:I744">SUM(J732:M732)</f>
        <v>0</v>
      </c>
      <c r="J732" s="445">
        <f t="shared" si="140"/>
        <v>0</v>
      </c>
      <c r="K732" s="445">
        <f t="shared" si="140"/>
        <v>0</v>
      </c>
      <c r="L732" s="445">
        <f t="shared" si="140"/>
        <v>0</v>
      </c>
      <c r="M732" s="445">
        <f t="shared" si="140"/>
        <v>0</v>
      </c>
      <c r="N732" s="445">
        <f t="shared" si="140"/>
        <v>0</v>
      </c>
      <c r="O732" s="445">
        <f t="shared" si="140"/>
        <v>40000</v>
      </c>
      <c r="P732" s="445">
        <f t="shared" si="140"/>
        <v>0</v>
      </c>
      <c r="Q732" s="445">
        <f t="shared" si="140"/>
        <v>0</v>
      </c>
      <c r="R732" s="445">
        <f t="shared" si="140"/>
        <v>0</v>
      </c>
      <c r="S732" s="445">
        <f aca="true" t="shared" si="142" ref="S732:S744">T732+V732</f>
        <v>1347918</v>
      </c>
      <c r="T732" s="445">
        <f t="shared" si="140"/>
        <v>1347918</v>
      </c>
      <c r="U732" s="445">
        <f t="shared" si="140"/>
        <v>621718</v>
      </c>
      <c r="V732" s="445">
        <f t="shared" si="140"/>
        <v>0</v>
      </c>
    </row>
    <row r="733" spans="1:22" s="449" customFormat="1" ht="48">
      <c r="A733" s="612"/>
      <c r="B733" s="612">
        <v>90019</v>
      </c>
      <c r="C733" s="613"/>
      <c r="D733" s="614" t="s">
        <v>28</v>
      </c>
      <c r="E733" s="502">
        <f t="shared" si="137"/>
        <v>1589172</v>
      </c>
      <c r="F733" s="445">
        <f t="shared" si="138"/>
        <v>241254</v>
      </c>
      <c r="G733" s="445">
        <f t="shared" si="139"/>
        <v>201254</v>
      </c>
      <c r="H733" s="468">
        <f>SUM(H734:H744)</f>
        <v>201254</v>
      </c>
      <c r="I733" s="445">
        <f t="shared" si="141"/>
        <v>0</v>
      </c>
      <c r="J733" s="468">
        <f aca="true" t="shared" si="143" ref="J733:R733">SUM(J734:J744)</f>
        <v>0</v>
      </c>
      <c r="K733" s="468">
        <f t="shared" si="143"/>
        <v>0</v>
      </c>
      <c r="L733" s="468">
        <f t="shared" si="143"/>
        <v>0</v>
      </c>
      <c r="M733" s="468">
        <f t="shared" si="143"/>
        <v>0</v>
      </c>
      <c r="N733" s="468">
        <f t="shared" si="143"/>
        <v>0</v>
      </c>
      <c r="O733" s="468">
        <f t="shared" si="143"/>
        <v>40000</v>
      </c>
      <c r="P733" s="468">
        <f t="shared" si="143"/>
        <v>0</v>
      </c>
      <c r="Q733" s="468">
        <f t="shared" si="143"/>
        <v>0</v>
      </c>
      <c r="R733" s="468">
        <f t="shared" si="143"/>
        <v>0</v>
      </c>
      <c r="S733" s="445">
        <f t="shared" si="142"/>
        <v>1347918</v>
      </c>
      <c r="T733" s="468">
        <f>SUM(T734:T744)</f>
        <v>1347918</v>
      </c>
      <c r="U733" s="468">
        <f>SUM(U734:U744)</f>
        <v>621718</v>
      </c>
      <c r="V733" s="468">
        <f>SUM(V734:V744)</f>
        <v>0</v>
      </c>
    </row>
    <row r="734" spans="1:22" s="449" customFormat="1" ht="60">
      <c r="A734" s="612"/>
      <c r="B734" s="612"/>
      <c r="C734" s="594">
        <v>2810</v>
      </c>
      <c r="D734" s="608" t="s">
        <v>29</v>
      </c>
      <c r="E734" s="502">
        <f t="shared" si="137"/>
        <v>16000</v>
      </c>
      <c r="F734" s="445">
        <f t="shared" si="138"/>
        <v>16000</v>
      </c>
      <c r="G734" s="445">
        <f t="shared" si="139"/>
        <v>0</v>
      </c>
      <c r="H734" s="468"/>
      <c r="I734" s="445">
        <f t="shared" si="141"/>
        <v>0</v>
      </c>
      <c r="J734" s="468"/>
      <c r="K734" s="468"/>
      <c r="L734" s="468"/>
      <c r="M734" s="468"/>
      <c r="N734" s="468"/>
      <c r="O734" s="469">
        <v>16000</v>
      </c>
      <c r="P734" s="468"/>
      <c r="Q734" s="468"/>
      <c r="R734" s="468"/>
      <c r="S734" s="445">
        <f t="shared" si="142"/>
        <v>0</v>
      </c>
      <c r="T734" s="468"/>
      <c r="U734" s="468"/>
      <c r="V734" s="468"/>
    </row>
    <row r="735" spans="1:22" s="441" customFormat="1" ht="60">
      <c r="A735" s="612"/>
      <c r="B735" s="612"/>
      <c r="C735" s="594">
        <v>2820</v>
      </c>
      <c r="D735" s="608" t="s">
        <v>29</v>
      </c>
      <c r="E735" s="502">
        <f t="shared" si="137"/>
        <v>24000</v>
      </c>
      <c r="F735" s="445">
        <f t="shared" si="138"/>
        <v>24000</v>
      </c>
      <c r="G735" s="445">
        <f t="shared" si="139"/>
        <v>0</v>
      </c>
      <c r="H735" s="451"/>
      <c r="I735" s="445">
        <f t="shared" si="141"/>
        <v>0</v>
      </c>
      <c r="J735" s="451"/>
      <c r="K735" s="451"/>
      <c r="L735" s="451"/>
      <c r="M735" s="451"/>
      <c r="N735" s="451"/>
      <c r="O735" s="451">
        <v>24000</v>
      </c>
      <c r="P735" s="451"/>
      <c r="Q735" s="451"/>
      <c r="R735" s="451"/>
      <c r="S735" s="445">
        <f t="shared" si="142"/>
        <v>0</v>
      </c>
      <c r="T735" s="451"/>
      <c r="U735" s="451"/>
      <c r="V735" s="451"/>
    </row>
    <row r="736" spans="1:22" s="441" customFormat="1" ht="39.75" customHeight="1">
      <c r="A736" s="615"/>
      <c r="B736" s="615"/>
      <c r="C736" s="594">
        <v>4210</v>
      </c>
      <c r="D736" s="608" t="s">
        <v>107</v>
      </c>
      <c r="E736" s="502">
        <f t="shared" si="137"/>
        <v>57800</v>
      </c>
      <c r="F736" s="445">
        <f t="shared" si="138"/>
        <v>57800</v>
      </c>
      <c r="G736" s="445">
        <f t="shared" si="139"/>
        <v>57800</v>
      </c>
      <c r="H736" s="451">
        <v>57800</v>
      </c>
      <c r="I736" s="445">
        <f t="shared" si="141"/>
        <v>0</v>
      </c>
      <c r="J736" s="451"/>
      <c r="K736" s="451"/>
      <c r="L736" s="451"/>
      <c r="M736" s="451"/>
      <c r="N736" s="451"/>
      <c r="O736" s="451"/>
      <c r="P736" s="451"/>
      <c r="Q736" s="451"/>
      <c r="R736" s="451"/>
      <c r="S736" s="445">
        <f t="shared" si="142"/>
        <v>0</v>
      </c>
      <c r="T736" s="451"/>
      <c r="U736" s="451"/>
      <c r="V736" s="451"/>
    </row>
    <row r="737" spans="1:22" s="441" customFormat="1" ht="35.25" customHeight="1">
      <c r="A737" s="615"/>
      <c r="B737" s="615"/>
      <c r="C737" s="594">
        <v>4270</v>
      </c>
      <c r="D737" s="608" t="s">
        <v>109</v>
      </c>
      <c r="E737" s="502">
        <f t="shared" si="137"/>
        <v>15000</v>
      </c>
      <c r="F737" s="445">
        <f t="shared" si="138"/>
        <v>15000</v>
      </c>
      <c r="G737" s="445">
        <f t="shared" si="139"/>
        <v>15000</v>
      </c>
      <c r="H737" s="451">
        <v>15000</v>
      </c>
      <c r="I737" s="445">
        <f t="shared" si="141"/>
        <v>0</v>
      </c>
      <c r="J737" s="451"/>
      <c r="K737" s="451"/>
      <c r="L737" s="451"/>
      <c r="M737" s="451"/>
      <c r="N737" s="451"/>
      <c r="O737" s="451"/>
      <c r="P737" s="451"/>
      <c r="Q737" s="451"/>
      <c r="R737" s="451"/>
      <c r="S737" s="445">
        <f t="shared" si="142"/>
        <v>0</v>
      </c>
      <c r="T737" s="451"/>
      <c r="U737" s="451"/>
      <c r="V737" s="451"/>
    </row>
    <row r="738" spans="1:22" s="441" customFormat="1" ht="15.75">
      <c r="A738" s="615"/>
      <c r="B738" s="615"/>
      <c r="C738" s="594">
        <v>4300</v>
      </c>
      <c r="D738" s="608" t="s">
        <v>207</v>
      </c>
      <c r="E738" s="502">
        <f t="shared" si="137"/>
        <v>122454</v>
      </c>
      <c r="F738" s="445">
        <f t="shared" si="138"/>
        <v>122454</v>
      </c>
      <c r="G738" s="445">
        <f t="shared" si="139"/>
        <v>122454</v>
      </c>
      <c r="H738" s="451">
        <v>122454</v>
      </c>
      <c r="I738" s="445">
        <f t="shared" si="141"/>
        <v>0</v>
      </c>
      <c r="J738" s="451"/>
      <c r="K738" s="451"/>
      <c r="L738" s="451"/>
      <c r="M738" s="451"/>
      <c r="N738" s="451"/>
      <c r="O738" s="451"/>
      <c r="P738" s="451"/>
      <c r="Q738" s="451"/>
      <c r="R738" s="451"/>
      <c r="S738" s="445">
        <f t="shared" si="142"/>
        <v>0</v>
      </c>
      <c r="T738" s="451"/>
      <c r="U738" s="451"/>
      <c r="V738" s="451"/>
    </row>
    <row r="739" spans="1:22" s="441" customFormat="1" ht="45" customHeight="1">
      <c r="A739" s="615"/>
      <c r="B739" s="615"/>
      <c r="C739" s="594">
        <v>4700</v>
      </c>
      <c r="D739" s="608" t="s">
        <v>30</v>
      </c>
      <c r="E739" s="502">
        <f t="shared" si="137"/>
        <v>6000</v>
      </c>
      <c r="F739" s="445">
        <f t="shared" si="138"/>
        <v>6000</v>
      </c>
      <c r="G739" s="445">
        <f t="shared" si="139"/>
        <v>6000</v>
      </c>
      <c r="H739" s="451">
        <v>6000</v>
      </c>
      <c r="I739" s="445">
        <f t="shared" si="141"/>
        <v>0</v>
      </c>
      <c r="J739" s="451"/>
      <c r="K739" s="451"/>
      <c r="L739" s="451"/>
      <c r="M739" s="451"/>
      <c r="N739" s="451"/>
      <c r="O739" s="451"/>
      <c r="P739" s="451"/>
      <c r="Q739" s="451"/>
      <c r="R739" s="451"/>
      <c r="S739" s="445">
        <f t="shared" si="142"/>
        <v>0</v>
      </c>
      <c r="T739" s="451"/>
      <c r="U739" s="451"/>
      <c r="V739" s="451"/>
    </row>
    <row r="740" spans="1:22" s="441" customFormat="1" ht="48">
      <c r="A740" s="615"/>
      <c r="B740" s="615"/>
      <c r="C740" s="594">
        <v>6170</v>
      </c>
      <c r="D740" s="608" t="s">
        <v>31</v>
      </c>
      <c r="E740" s="502">
        <f t="shared" si="137"/>
        <v>50000</v>
      </c>
      <c r="F740" s="445">
        <f t="shared" si="138"/>
        <v>0</v>
      </c>
      <c r="G740" s="445">
        <f t="shared" si="139"/>
        <v>0</v>
      </c>
      <c r="H740" s="451"/>
      <c r="I740" s="445">
        <f t="shared" si="141"/>
        <v>0</v>
      </c>
      <c r="J740" s="451"/>
      <c r="K740" s="451"/>
      <c r="L740" s="451"/>
      <c r="M740" s="451"/>
      <c r="N740" s="451"/>
      <c r="O740" s="451"/>
      <c r="P740" s="451"/>
      <c r="Q740" s="451"/>
      <c r="R740" s="451"/>
      <c r="S740" s="445">
        <f t="shared" si="142"/>
        <v>50000</v>
      </c>
      <c r="T740" s="451">
        <v>50000</v>
      </c>
      <c r="U740" s="451"/>
      <c r="V740" s="451"/>
    </row>
    <row r="741" spans="1:22" s="441" customFormat="1" ht="75" customHeight="1">
      <c r="A741" s="615"/>
      <c r="B741" s="615"/>
      <c r="C741" s="594">
        <v>6620</v>
      </c>
      <c r="D741" s="608" t="s">
        <v>264</v>
      </c>
      <c r="E741" s="502">
        <f>F741+S741</f>
        <v>50000</v>
      </c>
      <c r="F741" s="445">
        <f>G741+N741+O741+P741+Q741+R741</f>
        <v>0</v>
      </c>
      <c r="G741" s="445">
        <f>H741+I741</f>
        <v>0</v>
      </c>
      <c r="H741" s="451"/>
      <c r="I741" s="445">
        <f>SUM(J741:M741)</f>
        <v>0</v>
      </c>
      <c r="J741" s="451"/>
      <c r="K741" s="451"/>
      <c r="L741" s="451"/>
      <c r="M741" s="451"/>
      <c r="N741" s="451"/>
      <c r="O741" s="451"/>
      <c r="P741" s="451"/>
      <c r="Q741" s="451"/>
      <c r="R741" s="451"/>
      <c r="S741" s="445">
        <f>T741+V741</f>
        <v>50000</v>
      </c>
      <c r="T741" s="451">
        <v>50000</v>
      </c>
      <c r="U741" s="451"/>
      <c r="V741" s="451"/>
    </row>
    <row r="742" spans="1:22" s="441" customFormat="1" ht="75" customHeight="1">
      <c r="A742" s="615"/>
      <c r="B742" s="615"/>
      <c r="C742" s="594">
        <v>6050</v>
      </c>
      <c r="D742" s="608" t="s">
        <v>605</v>
      </c>
      <c r="E742" s="502">
        <f t="shared" si="137"/>
        <v>619000</v>
      </c>
      <c r="F742" s="445">
        <f>G742+N742+O742+P742+Q742+R742</f>
        <v>0</v>
      </c>
      <c r="G742" s="445">
        <f>H742+I742</f>
        <v>0</v>
      </c>
      <c r="H742" s="451"/>
      <c r="I742" s="445">
        <f>SUM(J742:M742)</f>
        <v>0</v>
      </c>
      <c r="J742" s="451"/>
      <c r="K742" s="451"/>
      <c r="L742" s="451"/>
      <c r="M742" s="451"/>
      <c r="N742" s="451"/>
      <c r="O742" s="451"/>
      <c r="P742" s="451"/>
      <c r="Q742" s="451"/>
      <c r="R742" s="451"/>
      <c r="S742" s="445">
        <f>T742+V742</f>
        <v>619000</v>
      </c>
      <c r="T742" s="451">
        <v>619000</v>
      </c>
      <c r="U742" s="451"/>
      <c r="V742" s="451"/>
    </row>
    <row r="743" spans="1:22" s="441" customFormat="1" ht="75" customHeight="1">
      <c r="A743" s="615"/>
      <c r="B743" s="615"/>
      <c r="C743" s="589">
        <v>6060</v>
      </c>
      <c r="D743" s="453" t="s">
        <v>387</v>
      </c>
      <c r="E743" s="502">
        <f t="shared" si="137"/>
        <v>7200</v>
      </c>
      <c r="F743" s="445">
        <f>G743+N743+O743+P743+Q743+R743</f>
        <v>0</v>
      </c>
      <c r="G743" s="445">
        <f>H743+I743</f>
        <v>0</v>
      </c>
      <c r="H743" s="451"/>
      <c r="I743" s="445">
        <f>SUM(J743:M743)</f>
        <v>0</v>
      </c>
      <c r="J743" s="451"/>
      <c r="K743" s="451"/>
      <c r="L743" s="451"/>
      <c r="M743" s="451"/>
      <c r="N743" s="451"/>
      <c r="O743" s="451"/>
      <c r="P743" s="451"/>
      <c r="Q743" s="451"/>
      <c r="R743" s="451"/>
      <c r="S743" s="445">
        <f>T743+V743</f>
        <v>7200</v>
      </c>
      <c r="T743" s="451">
        <v>7200</v>
      </c>
      <c r="U743" s="451"/>
      <c r="V743" s="451"/>
    </row>
    <row r="744" spans="1:22" s="441" customFormat="1" ht="75" customHeight="1">
      <c r="A744" s="615"/>
      <c r="B744" s="615"/>
      <c r="C744" s="594">
        <v>6059</v>
      </c>
      <c r="D744" s="608" t="s">
        <v>605</v>
      </c>
      <c r="E744" s="502">
        <f t="shared" si="137"/>
        <v>621718</v>
      </c>
      <c r="F744" s="445">
        <f t="shared" si="138"/>
        <v>0</v>
      </c>
      <c r="G744" s="445">
        <f t="shared" si="139"/>
        <v>0</v>
      </c>
      <c r="H744" s="451"/>
      <c r="I744" s="445">
        <f t="shared" si="141"/>
        <v>0</v>
      </c>
      <c r="J744" s="451"/>
      <c r="K744" s="451"/>
      <c r="L744" s="451"/>
      <c r="M744" s="451"/>
      <c r="N744" s="451"/>
      <c r="O744" s="451"/>
      <c r="P744" s="451"/>
      <c r="Q744" s="451"/>
      <c r="R744" s="451"/>
      <c r="S744" s="445">
        <f t="shared" si="142"/>
        <v>621718</v>
      </c>
      <c r="T744" s="451">
        <f>U744</f>
        <v>621718</v>
      </c>
      <c r="U744" s="451">
        <v>621718</v>
      </c>
      <c r="V744" s="451"/>
    </row>
    <row r="745" spans="1:22" s="446" customFormat="1" ht="63">
      <c r="A745" s="585">
        <v>921</v>
      </c>
      <c r="B745" s="570"/>
      <c r="C745" s="587"/>
      <c r="D745" s="311" t="s">
        <v>292</v>
      </c>
      <c r="E745" s="502">
        <f t="shared" si="128"/>
        <v>172500</v>
      </c>
      <c r="F745" s="445">
        <f t="shared" si="129"/>
        <v>172500</v>
      </c>
      <c r="G745" s="445">
        <f t="shared" si="130"/>
        <v>82500</v>
      </c>
      <c r="H745" s="445">
        <f>SUM(H748+H751+H746)</f>
        <v>80400</v>
      </c>
      <c r="I745" s="445">
        <f t="shared" si="131"/>
        <v>2100</v>
      </c>
      <c r="J745" s="445">
        <f aca="true" t="shared" si="144" ref="J745:R745">SUM(J748+J751+J746)</f>
        <v>0</v>
      </c>
      <c r="K745" s="445">
        <f t="shared" si="144"/>
        <v>0</v>
      </c>
      <c r="L745" s="445">
        <f t="shared" si="144"/>
        <v>0</v>
      </c>
      <c r="M745" s="445">
        <f t="shared" si="144"/>
        <v>2100</v>
      </c>
      <c r="N745" s="445">
        <f t="shared" si="144"/>
        <v>0</v>
      </c>
      <c r="O745" s="445">
        <f t="shared" si="144"/>
        <v>90000</v>
      </c>
      <c r="P745" s="445">
        <f>SUM(P748+P751+P746)</f>
        <v>0</v>
      </c>
      <c r="Q745" s="445">
        <f t="shared" si="144"/>
        <v>0</v>
      </c>
      <c r="R745" s="445">
        <f t="shared" si="144"/>
        <v>0</v>
      </c>
      <c r="S745" s="445">
        <f t="shared" si="132"/>
        <v>0</v>
      </c>
      <c r="T745" s="445">
        <f>SUM(T748+T751+T746)</f>
        <v>0</v>
      </c>
      <c r="U745" s="445">
        <f>SUM(U748+U751+U746)</f>
        <v>0</v>
      </c>
      <c r="V745" s="445">
        <f>SUM(V748+V751+V746)</f>
        <v>0</v>
      </c>
    </row>
    <row r="746" spans="1:22" s="449" customFormat="1" ht="31.5">
      <c r="A746" s="571"/>
      <c r="B746" s="571">
        <v>92108</v>
      </c>
      <c r="C746" s="588"/>
      <c r="D746" s="262" t="s">
        <v>651</v>
      </c>
      <c r="E746" s="502">
        <f t="shared" si="128"/>
        <v>5200</v>
      </c>
      <c r="F746" s="445">
        <f t="shared" si="129"/>
        <v>5200</v>
      </c>
      <c r="G746" s="445">
        <f t="shared" si="130"/>
        <v>0</v>
      </c>
      <c r="H746" s="448">
        <f aca="true" t="shared" si="145" ref="H746:V746">SUM(H747:H747)</f>
        <v>0</v>
      </c>
      <c r="I746" s="445">
        <f t="shared" si="131"/>
        <v>0</v>
      </c>
      <c r="J746" s="448">
        <f t="shared" si="145"/>
        <v>0</v>
      </c>
      <c r="K746" s="448">
        <f t="shared" si="145"/>
        <v>0</v>
      </c>
      <c r="L746" s="448">
        <f t="shared" si="145"/>
        <v>0</v>
      </c>
      <c r="M746" s="448">
        <f t="shared" si="145"/>
        <v>0</v>
      </c>
      <c r="N746" s="448">
        <f t="shared" si="145"/>
        <v>0</v>
      </c>
      <c r="O746" s="448">
        <f t="shared" si="145"/>
        <v>5200</v>
      </c>
      <c r="P746" s="448">
        <f t="shared" si="145"/>
        <v>0</v>
      </c>
      <c r="Q746" s="448">
        <f t="shared" si="145"/>
        <v>0</v>
      </c>
      <c r="R746" s="448">
        <f t="shared" si="145"/>
        <v>0</v>
      </c>
      <c r="S746" s="445">
        <f t="shared" si="132"/>
        <v>0</v>
      </c>
      <c r="T746" s="448">
        <f t="shared" si="145"/>
        <v>0</v>
      </c>
      <c r="U746" s="448">
        <f t="shared" si="145"/>
        <v>0</v>
      </c>
      <c r="V746" s="448">
        <f t="shared" si="145"/>
        <v>0</v>
      </c>
    </row>
    <row r="747" spans="1:22" s="441" customFormat="1" ht="90">
      <c r="A747" s="572"/>
      <c r="B747" s="572"/>
      <c r="C747" s="589">
        <v>2820</v>
      </c>
      <c r="D747" s="450" t="s">
        <v>583</v>
      </c>
      <c r="E747" s="502">
        <f t="shared" si="128"/>
        <v>5200</v>
      </c>
      <c r="F747" s="445">
        <f t="shared" si="129"/>
        <v>5200</v>
      </c>
      <c r="G747" s="445">
        <f t="shared" si="130"/>
        <v>0</v>
      </c>
      <c r="H747" s="451"/>
      <c r="I747" s="445">
        <f t="shared" si="131"/>
        <v>0</v>
      </c>
      <c r="J747" s="451"/>
      <c r="K747" s="451"/>
      <c r="L747" s="451"/>
      <c r="M747" s="451"/>
      <c r="N747" s="451"/>
      <c r="O747" s="451">
        <v>5200</v>
      </c>
      <c r="P747" s="451"/>
      <c r="Q747" s="451"/>
      <c r="R747" s="451"/>
      <c r="S747" s="445">
        <f t="shared" si="132"/>
        <v>0</v>
      </c>
      <c r="T747" s="451"/>
      <c r="U747" s="451"/>
      <c r="V747" s="451"/>
    </row>
    <row r="748" spans="1:22" s="449" customFormat="1" ht="15.75">
      <c r="A748" s="571"/>
      <c r="B748" s="571">
        <v>92116</v>
      </c>
      <c r="C748" s="588"/>
      <c r="D748" s="262" t="s">
        <v>293</v>
      </c>
      <c r="E748" s="502">
        <f t="shared" si="128"/>
        <v>76000</v>
      </c>
      <c r="F748" s="445">
        <f t="shared" si="129"/>
        <v>76000</v>
      </c>
      <c r="G748" s="445">
        <f t="shared" si="130"/>
        <v>0</v>
      </c>
      <c r="H748" s="448">
        <f>SUM(H749:H750)</f>
        <v>0</v>
      </c>
      <c r="I748" s="445">
        <f t="shared" si="131"/>
        <v>0</v>
      </c>
      <c r="J748" s="448">
        <f aca="true" t="shared" si="146" ref="J748:R748">SUM(J749:J750)</f>
        <v>0</v>
      </c>
      <c r="K748" s="448">
        <f t="shared" si="146"/>
        <v>0</v>
      </c>
      <c r="L748" s="448">
        <f t="shared" si="146"/>
        <v>0</v>
      </c>
      <c r="M748" s="448">
        <f t="shared" si="146"/>
        <v>0</v>
      </c>
      <c r="N748" s="448">
        <f t="shared" si="146"/>
        <v>0</v>
      </c>
      <c r="O748" s="448">
        <f t="shared" si="146"/>
        <v>76000</v>
      </c>
      <c r="P748" s="448">
        <f>SUM(P749:P750)</f>
        <v>0</v>
      </c>
      <c r="Q748" s="448">
        <f t="shared" si="146"/>
        <v>0</v>
      </c>
      <c r="R748" s="448">
        <f t="shared" si="146"/>
        <v>0</v>
      </c>
      <c r="S748" s="445">
        <f t="shared" si="132"/>
        <v>0</v>
      </c>
      <c r="T748" s="448">
        <f>SUM(T749:T750)</f>
        <v>0</v>
      </c>
      <c r="U748" s="448">
        <f>SUM(U749:U750)</f>
        <v>0</v>
      </c>
      <c r="V748" s="448">
        <f>SUM(V749:V750)</f>
        <v>0</v>
      </c>
    </row>
    <row r="749" spans="1:22" s="441" customFormat="1" ht="120">
      <c r="A749" s="572"/>
      <c r="B749" s="572"/>
      <c r="C749" s="589">
        <v>2310</v>
      </c>
      <c r="D749" s="450" t="s">
        <v>294</v>
      </c>
      <c r="E749" s="502">
        <f t="shared" si="128"/>
        <v>76000</v>
      </c>
      <c r="F749" s="445">
        <f t="shared" si="129"/>
        <v>76000</v>
      </c>
      <c r="G749" s="445">
        <f t="shared" si="130"/>
        <v>0</v>
      </c>
      <c r="H749" s="451"/>
      <c r="I749" s="445">
        <f t="shared" si="131"/>
        <v>0</v>
      </c>
      <c r="J749" s="451"/>
      <c r="K749" s="451"/>
      <c r="L749" s="451"/>
      <c r="M749" s="451"/>
      <c r="N749" s="451"/>
      <c r="O749" s="451">
        <v>76000</v>
      </c>
      <c r="P749" s="451"/>
      <c r="Q749" s="451"/>
      <c r="R749" s="451"/>
      <c r="S749" s="445">
        <f t="shared" si="132"/>
        <v>0</v>
      </c>
      <c r="T749" s="451"/>
      <c r="U749" s="451"/>
      <c r="V749" s="451"/>
    </row>
    <row r="750" spans="1:22" s="441" customFormat="1" ht="39.75" customHeight="1" hidden="1">
      <c r="A750" s="572"/>
      <c r="B750" s="572"/>
      <c r="C750" s="589">
        <v>4210</v>
      </c>
      <c r="D750" s="450" t="s">
        <v>422</v>
      </c>
      <c r="E750" s="502">
        <f t="shared" si="128"/>
        <v>0</v>
      </c>
      <c r="F750" s="445">
        <f t="shared" si="129"/>
        <v>0</v>
      </c>
      <c r="G750" s="445">
        <f t="shared" si="130"/>
        <v>0</v>
      </c>
      <c r="H750" s="451"/>
      <c r="I750" s="445">
        <f t="shared" si="131"/>
        <v>0</v>
      </c>
      <c r="J750" s="451"/>
      <c r="K750" s="451"/>
      <c r="L750" s="451"/>
      <c r="M750" s="451"/>
      <c r="N750" s="451"/>
      <c r="O750" s="451"/>
      <c r="P750" s="451"/>
      <c r="Q750" s="451"/>
      <c r="R750" s="451"/>
      <c r="S750" s="445">
        <f t="shared" si="132"/>
        <v>0</v>
      </c>
      <c r="T750" s="451"/>
      <c r="U750" s="451"/>
      <c r="V750" s="451"/>
    </row>
    <row r="751" spans="1:22" s="449" customFormat="1" ht="15.75">
      <c r="A751" s="571"/>
      <c r="B751" s="571">
        <v>92195</v>
      </c>
      <c r="C751" s="588"/>
      <c r="D751" s="262" t="s">
        <v>224</v>
      </c>
      <c r="E751" s="502">
        <f t="shared" si="128"/>
        <v>91300</v>
      </c>
      <c r="F751" s="445">
        <f t="shared" si="129"/>
        <v>91300</v>
      </c>
      <c r="G751" s="445">
        <f t="shared" si="130"/>
        <v>82500</v>
      </c>
      <c r="H751" s="448">
        <f>SUM(H752:H762)</f>
        <v>80400</v>
      </c>
      <c r="I751" s="445">
        <f t="shared" si="131"/>
        <v>2100</v>
      </c>
      <c r="J751" s="448">
        <f>SUM(J752:J762)</f>
        <v>0</v>
      </c>
      <c r="K751" s="448">
        <f aca="true" t="shared" si="147" ref="K751:R751">SUM(K752:K762)</f>
        <v>0</v>
      </c>
      <c r="L751" s="448">
        <f t="shared" si="147"/>
        <v>0</v>
      </c>
      <c r="M751" s="448">
        <f t="shared" si="147"/>
        <v>2100</v>
      </c>
      <c r="N751" s="448">
        <f t="shared" si="147"/>
        <v>0</v>
      </c>
      <c r="O751" s="448">
        <f t="shared" si="147"/>
        <v>8800</v>
      </c>
      <c r="P751" s="448">
        <f>SUM(P752:P762)</f>
        <v>0</v>
      </c>
      <c r="Q751" s="448">
        <f t="shared" si="147"/>
        <v>0</v>
      </c>
      <c r="R751" s="448">
        <f t="shared" si="147"/>
        <v>0</v>
      </c>
      <c r="S751" s="445">
        <f t="shared" si="132"/>
        <v>0</v>
      </c>
      <c r="T751" s="448">
        <f>SUM(T752:T762)</f>
        <v>0</v>
      </c>
      <c r="U751" s="448">
        <f>SUM(U752:U762)</f>
        <v>0</v>
      </c>
      <c r="V751" s="448">
        <f>SUM(V752:V762)</f>
        <v>0</v>
      </c>
    </row>
    <row r="752" spans="1:22" s="449" customFormat="1" ht="90" customHeight="1">
      <c r="A752" s="571"/>
      <c r="B752" s="571"/>
      <c r="C752" s="589">
        <v>2810</v>
      </c>
      <c r="D752" s="450" t="s">
        <v>584</v>
      </c>
      <c r="E752" s="502">
        <f t="shared" si="128"/>
        <v>1800</v>
      </c>
      <c r="F752" s="445">
        <f t="shared" si="129"/>
        <v>1800</v>
      </c>
      <c r="G752" s="445">
        <f t="shared" si="130"/>
        <v>0</v>
      </c>
      <c r="H752" s="448"/>
      <c r="I752" s="445">
        <f t="shared" si="131"/>
        <v>0</v>
      </c>
      <c r="J752" s="448"/>
      <c r="K752" s="448"/>
      <c r="L752" s="448"/>
      <c r="M752" s="448"/>
      <c r="N752" s="448"/>
      <c r="O752" s="451">
        <v>1800</v>
      </c>
      <c r="P752" s="448"/>
      <c r="Q752" s="448"/>
      <c r="R752" s="448"/>
      <c r="S752" s="445">
        <f t="shared" si="132"/>
        <v>0</v>
      </c>
      <c r="T752" s="448"/>
      <c r="U752" s="448"/>
      <c r="V752" s="448"/>
    </row>
    <row r="753" spans="1:22" s="449" customFormat="1" ht="75" customHeight="1">
      <c r="A753" s="571"/>
      <c r="B753" s="571"/>
      <c r="C753" s="589">
        <v>2820</v>
      </c>
      <c r="D753" s="450" t="s">
        <v>583</v>
      </c>
      <c r="E753" s="502">
        <f t="shared" si="128"/>
        <v>7000</v>
      </c>
      <c r="F753" s="445">
        <f t="shared" si="129"/>
        <v>7000</v>
      </c>
      <c r="G753" s="445">
        <f t="shared" si="130"/>
        <v>0</v>
      </c>
      <c r="H753" s="448"/>
      <c r="I753" s="445">
        <f t="shared" si="131"/>
        <v>0</v>
      </c>
      <c r="J753" s="448"/>
      <c r="K753" s="448"/>
      <c r="L753" s="448"/>
      <c r="M753" s="448"/>
      <c r="N753" s="448"/>
      <c r="O753" s="451">
        <v>7000</v>
      </c>
      <c r="P753" s="448"/>
      <c r="Q753" s="448"/>
      <c r="R753" s="448"/>
      <c r="S753" s="445">
        <f t="shared" si="132"/>
        <v>0</v>
      </c>
      <c r="T753" s="448"/>
      <c r="U753" s="448"/>
      <c r="V753" s="448"/>
    </row>
    <row r="754" spans="1:22" s="441" customFormat="1" ht="30" customHeight="1">
      <c r="A754" s="572"/>
      <c r="B754" s="572"/>
      <c r="C754" s="589">
        <v>4170</v>
      </c>
      <c r="D754" s="450" t="s">
        <v>437</v>
      </c>
      <c r="E754" s="502">
        <f t="shared" si="128"/>
        <v>2100</v>
      </c>
      <c r="F754" s="445">
        <f t="shared" si="129"/>
        <v>2100</v>
      </c>
      <c r="G754" s="445">
        <f t="shared" si="130"/>
        <v>2100</v>
      </c>
      <c r="H754" s="451"/>
      <c r="I754" s="445">
        <f t="shared" si="131"/>
        <v>2100</v>
      </c>
      <c r="J754" s="451"/>
      <c r="K754" s="451"/>
      <c r="L754" s="451"/>
      <c r="M754" s="451">
        <v>2100</v>
      </c>
      <c r="N754" s="451"/>
      <c r="O754" s="451"/>
      <c r="P754" s="451"/>
      <c r="Q754" s="451"/>
      <c r="R754" s="451"/>
      <c r="S754" s="445">
        <f t="shared" si="132"/>
        <v>0</v>
      </c>
      <c r="T754" s="451"/>
      <c r="U754" s="451"/>
      <c r="V754" s="451"/>
    </row>
    <row r="755" spans="1:22" s="441" customFormat="1" ht="34.5" customHeight="1">
      <c r="A755" s="572"/>
      <c r="B755" s="572"/>
      <c r="C755" s="589">
        <v>4210</v>
      </c>
      <c r="D755" s="450" t="s">
        <v>107</v>
      </c>
      <c r="E755" s="502">
        <f t="shared" si="128"/>
        <v>33600</v>
      </c>
      <c r="F755" s="445">
        <f t="shared" si="129"/>
        <v>33600</v>
      </c>
      <c r="G755" s="445">
        <f t="shared" si="130"/>
        <v>33600</v>
      </c>
      <c r="H755" s="451">
        <v>33600</v>
      </c>
      <c r="I755" s="445">
        <f t="shared" si="131"/>
        <v>0</v>
      </c>
      <c r="J755" s="451"/>
      <c r="K755" s="451"/>
      <c r="L755" s="451"/>
      <c r="M755" s="451"/>
      <c r="N755" s="451"/>
      <c r="O755" s="451"/>
      <c r="P755" s="451"/>
      <c r="Q755" s="451"/>
      <c r="R755" s="451"/>
      <c r="S755" s="445">
        <f t="shared" si="132"/>
        <v>0</v>
      </c>
      <c r="T755" s="451"/>
      <c r="U755" s="451"/>
      <c r="V755" s="451"/>
    </row>
    <row r="756" spans="1:22" s="441" customFormat="1" ht="34.5" customHeight="1" hidden="1">
      <c r="A756" s="572"/>
      <c r="B756" s="572"/>
      <c r="C756" s="589">
        <v>4218</v>
      </c>
      <c r="D756" s="450" t="s">
        <v>107</v>
      </c>
      <c r="E756" s="502">
        <f t="shared" si="128"/>
        <v>0</v>
      </c>
      <c r="F756" s="445">
        <f t="shared" si="129"/>
        <v>0</v>
      </c>
      <c r="G756" s="445">
        <f t="shared" si="130"/>
        <v>0</v>
      </c>
      <c r="H756" s="451"/>
      <c r="I756" s="445">
        <f t="shared" si="131"/>
        <v>0</v>
      </c>
      <c r="J756" s="451"/>
      <c r="K756" s="451"/>
      <c r="L756" s="451"/>
      <c r="M756" s="451"/>
      <c r="N756" s="451"/>
      <c r="O756" s="451"/>
      <c r="P756" s="451"/>
      <c r="Q756" s="451"/>
      <c r="R756" s="462"/>
      <c r="S756" s="445">
        <f t="shared" si="132"/>
        <v>0</v>
      </c>
      <c r="T756" s="451"/>
      <c r="U756" s="451"/>
      <c r="V756" s="451"/>
    </row>
    <row r="757" spans="1:22" s="441" customFormat="1" ht="34.5" customHeight="1" hidden="1">
      <c r="A757" s="572"/>
      <c r="B757" s="572"/>
      <c r="C757" s="589">
        <v>4219</v>
      </c>
      <c r="D757" s="450" t="s">
        <v>107</v>
      </c>
      <c r="E757" s="502">
        <f t="shared" si="128"/>
        <v>0</v>
      </c>
      <c r="F757" s="445">
        <f t="shared" si="129"/>
        <v>0</v>
      </c>
      <c r="G757" s="445">
        <f t="shared" si="130"/>
        <v>0</v>
      </c>
      <c r="H757" s="451"/>
      <c r="I757" s="445">
        <f t="shared" si="131"/>
        <v>0</v>
      </c>
      <c r="J757" s="451"/>
      <c r="K757" s="451"/>
      <c r="L757" s="451"/>
      <c r="M757" s="451"/>
      <c r="N757" s="451"/>
      <c r="O757" s="451"/>
      <c r="P757" s="451"/>
      <c r="Q757" s="451"/>
      <c r="R757" s="462"/>
      <c r="S757" s="445">
        <f t="shared" si="132"/>
        <v>0</v>
      </c>
      <c r="T757" s="451"/>
      <c r="U757" s="451"/>
      <c r="V757" s="451"/>
    </row>
    <row r="758" spans="1:22" s="441" customFormat="1" ht="19.5" customHeight="1" hidden="1">
      <c r="A758" s="572"/>
      <c r="B758" s="572"/>
      <c r="C758" s="589">
        <v>4308</v>
      </c>
      <c r="D758" s="450" t="s">
        <v>207</v>
      </c>
      <c r="E758" s="502">
        <f t="shared" si="128"/>
        <v>0</v>
      </c>
      <c r="F758" s="445">
        <f t="shared" si="129"/>
        <v>0</v>
      </c>
      <c r="G758" s="445">
        <f t="shared" si="130"/>
        <v>0</v>
      </c>
      <c r="H758" s="451"/>
      <c r="I758" s="445">
        <f t="shared" si="131"/>
        <v>0</v>
      </c>
      <c r="J758" s="451"/>
      <c r="K758" s="451"/>
      <c r="L758" s="451"/>
      <c r="M758" s="451"/>
      <c r="N758" s="451"/>
      <c r="O758" s="451"/>
      <c r="P758" s="451"/>
      <c r="Q758" s="451"/>
      <c r="R758" s="462"/>
      <c r="S758" s="445">
        <f t="shared" si="132"/>
        <v>0</v>
      </c>
      <c r="T758" s="451"/>
      <c r="U758" s="451"/>
      <c r="V758" s="451"/>
    </row>
    <row r="759" spans="1:22" s="441" customFormat="1" ht="21.75" customHeight="1" hidden="1">
      <c r="A759" s="572"/>
      <c r="B759" s="572"/>
      <c r="C759" s="589">
        <v>4309</v>
      </c>
      <c r="D759" s="450" t="s">
        <v>207</v>
      </c>
      <c r="E759" s="502">
        <f t="shared" si="128"/>
        <v>0</v>
      </c>
      <c r="F759" s="445">
        <f t="shared" si="129"/>
        <v>0</v>
      </c>
      <c r="G759" s="445">
        <f t="shared" si="130"/>
        <v>0</v>
      </c>
      <c r="H759" s="451"/>
      <c r="I759" s="445">
        <f t="shared" si="131"/>
        <v>0</v>
      </c>
      <c r="J759" s="451"/>
      <c r="K759" s="451"/>
      <c r="L759" s="451"/>
      <c r="M759" s="451"/>
      <c r="N759" s="451"/>
      <c r="O759" s="451"/>
      <c r="P759" s="451"/>
      <c r="Q759" s="451"/>
      <c r="R759" s="462"/>
      <c r="S759" s="445">
        <f t="shared" si="132"/>
        <v>0</v>
      </c>
      <c r="T759" s="451"/>
      <c r="U759" s="451"/>
      <c r="V759" s="451"/>
    </row>
    <row r="760" spans="1:22" s="441" customFormat="1" ht="48.75" customHeight="1">
      <c r="A760" s="572"/>
      <c r="B760" s="572"/>
      <c r="C760" s="589">
        <v>4300</v>
      </c>
      <c r="D760" s="450" t="s">
        <v>207</v>
      </c>
      <c r="E760" s="502">
        <f t="shared" si="128"/>
        <v>46800</v>
      </c>
      <c r="F760" s="445">
        <f t="shared" si="129"/>
        <v>46800</v>
      </c>
      <c r="G760" s="445">
        <f t="shared" si="130"/>
        <v>46800</v>
      </c>
      <c r="H760" s="451">
        <v>46800</v>
      </c>
      <c r="I760" s="445">
        <f t="shared" si="131"/>
        <v>0</v>
      </c>
      <c r="J760" s="451"/>
      <c r="K760" s="451"/>
      <c r="L760" s="451"/>
      <c r="M760" s="451"/>
      <c r="N760" s="451"/>
      <c r="O760" s="451"/>
      <c r="P760" s="451"/>
      <c r="Q760" s="451"/>
      <c r="R760" s="451"/>
      <c r="S760" s="445">
        <f t="shared" si="132"/>
        <v>0</v>
      </c>
      <c r="T760" s="451"/>
      <c r="U760" s="451"/>
      <c r="V760" s="451"/>
    </row>
    <row r="761" spans="1:22" s="441" customFormat="1" ht="50.25" customHeight="1" hidden="1">
      <c r="A761" s="572"/>
      <c r="B761" s="572"/>
      <c r="C761" s="597">
        <v>4740</v>
      </c>
      <c r="D761" s="454" t="s">
        <v>199</v>
      </c>
      <c r="E761" s="502">
        <f t="shared" si="128"/>
        <v>0</v>
      </c>
      <c r="F761" s="445">
        <f t="shared" si="129"/>
        <v>0</v>
      </c>
      <c r="G761" s="445">
        <f t="shared" si="130"/>
        <v>0</v>
      </c>
      <c r="H761" s="451"/>
      <c r="I761" s="445">
        <f t="shared" si="131"/>
        <v>0</v>
      </c>
      <c r="J761" s="451"/>
      <c r="K761" s="451"/>
      <c r="L761" s="451"/>
      <c r="M761" s="451"/>
      <c r="N761" s="451"/>
      <c r="O761" s="451"/>
      <c r="P761" s="451"/>
      <c r="Q761" s="451"/>
      <c r="R761" s="451"/>
      <c r="S761" s="445">
        <f t="shared" si="132"/>
        <v>0</v>
      </c>
      <c r="T761" s="451"/>
      <c r="U761" s="451"/>
      <c r="V761" s="451"/>
    </row>
    <row r="762" spans="1:22" s="441" customFormat="1" ht="47.25" customHeight="1" hidden="1">
      <c r="A762" s="572"/>
      <c r="B762" s="572"/>
      <c r="C762" s="597">
        <v>4750</v>
      </c>
      <c r="D762" s="454" t="s">
        <v>239</v>
      </c>
      <c r="E762" s="502">
        <f t="shared" si="128"/>
        <v>0</v>
      </c>
      <c r="F762" s="445">
        <f t="shared" si="129"/>
        <v>0</v>
      </c>
      <c r="G762" s="445">
        <f t="shared" si="130"/>
        <v>0</v>
      </c>
      <c r="H762" s="451"/>
      <c r="I762" s="445">
        <f t="shared" si="131"/>
        <v>0</v>
      </c>
      <c r="J762" s="451"/>
      <c r="K762" s="451"/>
      <c r="L762" s="451"/>
      <c r="M762" s="451"/>
      <c r="N762" s="451"/>
      <c r="O762" s="451"/>
      <c r="P762" s="451"/>
      <c r="Q762" s="451"/>
      <c r="R762" s="451"/>
      <c r="S762" s="445">
        <f t="shared" si="132"/>
        <v>0</v>
      </c>
      <c r="T762" s="451"/>
      <c r="U762" s="451"/>
      <c r="V762" s="451"/>
    </row>
    <row r="763" spans="1:22" s="441" customFormat="1" ht="31.5" customHeight="1" hidden="1">
      <c r="A763" s="572"/>
      <c r="B763" s="572"/>
      <c r="C763" s="597">
        <v>6050</v>
      </c>
      <c r="D763" s="454" t="s">
        <v>605</v>
      </c>
      <c r="E763" s="502">
        <f t="shared" si="128"/>
        <v>0</v>
      </c>
      <c r="F763" s="445">
        <f t="shared" si="129"/>
        <v>0</v>
      </c>
      <c r="G763" s="445">
        <f t="shared" si="130"/>
        <v>0</v>
      </c>
      <c r="H763" s="451"/>
      <c r="I763" s="445">
        <f t="shared" si="131"/>
        <v>0</v>
      </c>
      <c r="J763" s="451"/>
      <c r="K763" s="451"/>
      <c r="L763" s="451"/>
      <c r="M763" s="451"/>
      <c r="N763" s="451"/>
      <c r="O763" s="451"/>
      <c r="P763" s="451"/>
      <c r="Q763" s="451"/>
      <c r="R763" s="451"/>
      <c r="S763" s="445">
        <f t="shared" si="132"/>
        <v>0</v>
      </c>
      <c r="T763" s="451"/>
      <c r="U763" s="451"/>
      <c r="V763" s="451"/>
    </row>
    <row r="764" spans="1:22" s="449" customFormat="1" ht="31.5">
      <c r="A764" s="571">
        <v>926</v>
      </c>
      <c r="B764" s="571"/>
      <c r="C764" s="588"/>
      <c r="D764" s="311" t="s">
        <v>295</v>
      </c>
      <c r="E764" s="502">
        <f t="shared" si="128"/>
        <v>125500</v>
      </c>
      <c r="F764" s="445">
        <f t="shared" si="129"/>
        <v>125500</v>
      </c>
      <c r="G764" s="445">
        <f t="shared" si="130"/>
        <v>75500</v>
      </c>
      <c r="H764" s="445">
        <f aca="true" t="shared" si="148" ref="H764:V764">SUM(H765)</f>
        <v>59560</v>
      </c>
      <c r="I764" s="445">
        <f t="shared" si="131"/>
        <v>15940</v>
      </c>
      <c r="J764" s="445">
        <f t="shared" si="148"/>
        <v>0</v>
      </c>
      <c r="K764" s="445">
        <f t="shared" si="148"/>
        <v>0</v>
      </c>
      <c r="L764" s="445">
        <f t="shared" si="148"/>
        <v>940</v>
      </c>
      <c r="M764" s="445">
        <f t="shared" si="148"/>
        <v>15000</v>
      </c>
      <c r="N764" s="445">
        <f t="shared" si="148"/>
        <v>0</v>
      </c>
      <c r="O764" s="445">
        <f t="shared" si="148"/>
        <v>50000</v>
      </c>
      <c r="P764" s="445">
        <f t="shared" si="148"/>
        <v>0</v>
      </c>
      <c r="Q764" s="445">
        <f t="shared" si="148"/>
        <v>0</v>
      </c>
      <c r="R764" s="445">
        <f t="shared" si="148"/>
        <v>0</v>
      </c>
      <c r="S764" s="445">
        <f t="shared" si="132"/>
        <v>0</v>
      </c>
      <c r="T764" s="445">
        <f t="shared" si="148"/>
        <v>0</v>
      </c>
      <c r="U764" s="445">
        <f t="shared" si="148"/>
        <v>0</v>
      </c>
      <c r="V764" s="445">
        <f t="shared" si="148"/>
        <v>0</v>
      </c>
    </row>
    <row r="765" spans="1:22" s="449" customFormat="1" ht="47.25">
      <c r="A765" s="571"/>
      <c r="B765" s="571">
        <v>92605</v>
      </c>
      <c r="C765" s="588"/>
      <c r="D765" s="262" t="s">
        <v>296</v>
      </c>
      <c r="E765" s="502">
        <f t="shared" si="128"/>
        <v>125500</v>
      </c>
      <c r="F765" s="445">
        <f t="shared" si="129"/>
        <v>125500</v>
      </c>
      <c r="G765" s="445">
        <f t="shared" si="130"/>
        <v>75500</v>
      </c>
      <c r="H765" s="468">
        <f>SUM(H766:H775)</f>
        <v>59560</v>
      </c>
      <c r="I765" s="445">
        <f t="shared" si="131"/>
        <v>15940</v>
      </c>
      <c r="J765" s="468">
        <f aca="true" t="shared" si="149" ref="J765:R765">SUM(J766:J775)</f>
        <v>0</v>
      </c>
      <c r="K765" s="468">
        <f t="shared" si="149"/>
        <v>0</v>
      </c>
      <c r="L765" s="468">
        <f t="shared" si="149"/>
        <v>940</v>
      </c>
      <c r="M765" s="468">
        <f t="shared" si="149"/>
        <v>15000</v>
      </c>
      <c r="N765" s="468">
        <f t="shared" si="149"/>
        <v>0</v>
      </c>
      <c r="O765" s="468">
        <f t="shared" si="149"/>
        <v>50000</v>
      </c>
      <c r="P765" s="468">
        <f>SUM(P766:P775)</f>
        <v>0</v>
      </c>
      <c r="Q765" s="468">
        <f t="shared" si="149"/>
        <v>0</v>
      </c>
      <c r="R765" s="468">
        <f t="shared" si="149"/>
        <v>0</v>
      </c>
      <c r="S765" s="445">
        <f t="shared" si="132"/>
        <v>0</v>
      </c>
      <c r="T765" s="468">
        <f>SUM(T766:T775)</f>
        <v>0</v>
      </c>
      <c r="U765" s="468">
        <f>SUM(U766:U775)</f>
        <v>0</v>
      </c>
      <c r="V765" s="468">
        <f>SUM(V766:V775)</f>
        <v>0</v>
      </c>
    </row>
    <row r="766" spans="1:22" s="449" customFormat="1" ht="90">
      <c r="A766" s="571"/>
      <c r="B766" s="571"/>
      <c r="C766" s="589">
        <v>2820</v>
      </c>
      <c r="D766" s="450" t="s">
        <v>583</v>
      </c>
      <c r="E766" s="502">
        <f t="shared" si="128"/>
        <v>50000</v>
      </c>
      <c r="F766" s="445">
        <f t="shared" si="129"/>
        <v>50000</v>
      </c>
      <c r="G766" s="445">
        <f t="shared" si="130"/>
        <v>0</v>
      </c>
      <c r="H766" s="468"/>
      <c r="I766" s="445">
        <f t="shared" si="131"/>
        <v>0</v>
      </c>
      <c r="J766" s="468"/>
      <c r="K766" s="468"/>
      <c r="L766" s="468"/>
      <c r="M766" s="468"/>
      <c r="N766" s="468"/>
      <c r="O766" s="469">
        <v>50000</v>
      </c>
      <c r="P766" s="468"/>
      <c r="Q766" s="468"/>
      <c r="R766" s="468"/>
      <c r="S766" s="445">
        <f t="shared" si="132"/>
        <v>0</v>
      </c>
      <c r="T766" s="468"/>
      <c r="U766" s="468"/>
      <c r="V766" s="468"/>
    </row>
    <row r="767" spans="1:22" s="441" customFormat="1" ht="31.5" customHeight="1">
      <c r="A767" s="572"/>
      <c r="B767" s="572"/>
      <c r="C767" s="589">
        <v>4110</v>
      </c>
      <c r="D767" s="450" t="s">
        <v>234</v>
      </c>
      <c r="E767" s="502">
        <f t="shared" si="128"/>
        <v>800</v>
      </c>
      <c r="F767" s="445">
        <f t="shared" si="129"/>
        <v>800</v>
      </c>
      <c r="G767" s="445">
        <f t="shared" si="130"/>
        <v>800</v>
      </c>
      <c r="H767" s="451"/>
      <c r="I767" s="445">
        <f t="shared" si="131"/>
        <v>800</v>
      </c>
      <c r="J767" s="451"/>
      <c r="K767" s="451"/>
      <c r="L767" s="451">
        <v>800</v>
      </c>
      <c r="M767" s="451"/>
      <c r="N767" s="451"/>
      <c r="O767" s="451"/>
      <c r="P767" s="451"/>
      <c r="Q767" s="451"/>
      <c r="R767" s="451"/>
      <c r="S767" s="445">
        <f t="shared" si="132"/>
        <v>0</v>
      </c>
      <c r="T767" s="451"/>
      <c r="U767" s="451"/>
      <c r="V767" s="451"/>
    </row>
    <row r="768" spans="1:22" s="441" customFormat="1" ht="39.75" customHeight="1">
      <c r="A768" s="572"/>
      <c r="B768" s="572"/>
      <c r="C768" s="589">
        <v>4120</v>
      </c>
      <c r="D768" s="450" t="s">
        <v>105</v>
      </c>
      <c r="E768" s="502">
        <f t="shared" si="128"/>
        <v>140</v>
      </c>
      <c r="F768" s="445">
        <f t="shared" si="129"/>
        <v>140</v>
      </c>
      <c r="G768" s="445">
        <f t="shared" si="130"/>
        <v>140</v>
      </c>
      <c r="H768" s="451"/>
      <c r="I768" s="445">
        <f t="shared" si="131"/>
        <v>140</v>
      </c>
      <c r="J768" s="451"/>
      <c r="K768" s="451"/>
      <c r="L768" s="451">
        <v>140</v>
      </c>
      <c r="M768" s="451"/>
      <c r="N768" s="451"/>
      <c r="O768" s="451"/>
      <c r="P768" s="451"/>
      <c r="Q768" s="451"/>
      <c r="R768" s="451"/>
      <c r="S768" s="445">
        <f t="shared" si="132"/>
        <v>0</v>
      </c>
      <c r="T768" s="451"/>
      <c r="U768" s="451"/>
      <c r="V768" s="451"/>
    </row>
    <row r="769" spans="1:22" s="441" customFormat="1" ht="35.25" customHeight="1">
      <c r="A769" s="572"/>
      <c r="B769" s="572"/>
      <c r="C769" s="589">
        <v>4210</v>
      </c>
      <c r="D769" s="450" t="s">
        <v>107</v>
      </c>
      <c r="E769" s="502">
        <f t="shared" si="128"/>
        <v>42260</v>
      </c>
      <c r="F769" s="445">
        <f t="shared" si="129"/>
        <v>42260</v>
      </c>
      <c r="G769" s="445">
        <f t="shared" si="130"/>
        <v>42260</v>
      </c>
      <c r="H769" s="451">
        <v>42260</v>
      </c>
      <c r="I769" s="445">
        <f t="shared" si="131"/>
        <v>0</v>
      </c>
      <c r="J769" s="451"/>
      <c r="K769" s="451"/>
      <c r="L769" s="451"/>
      <c r="M769" s="451"/>
      <c r="N769" s="451"/>
      <c r="O769" s="451"/>
      <c r="P769" s="451"/>
      <c r="Q769" s="451"/>
      <c r="R769" s="451"/>
      <c r="S769" s="445">
        <f t="shared" si="132"/>
        <v>0</v>
      </c>
      <c r="T769" s="451"/>
      <c r="U769" s="451"/>
      <c r="V769" s="451"/>
    </row>
    <row r="770" spans="1:22" s="441" customFormat="1" ht="30">
      <c r="A770" s="572"/>
      <c r="B770" s="572"/>
      <c r="C770" s="589">
        <v>4170</v>
      </c>
      <c r="D770" s="450" t="s">
        <v>196</v>
      </c>
      <c r="E770" s="502">
        <f t="shared" si="128"/>
        <v>15000</v>
      </c>
      <c r="F770" s="445">
        <f t="shared" si="129"/>
        <v>15000</v>
      </c>
      <c r="G770" s="445">
        <f t="shared" si="130"/>
        <v>15000</v>
      </c>
      <c r="H770" s="451"/>
      <c r="I770" s="445">
        <f t="shared" si="131"/>
        <v>15000</v>
      </c>
      <c r="J770" s="451"/>
      <c r="K770" s="451"/>
      <c r="L770" s="451"/>
      <c r="M770" s="451">
        <v>15000</v>
      </c>
      <c r="N770" s="451"/>
      <c r="O770" s="451"/>
      <c r="P770" s="451"/>
      <c r="Q770" s="451"/>
      <c r="R770" s="451"/>
      <c r="S770" s="445">
        <f t="shared" si="132"/>
        <v>0</v>
      </c>
      <c r="T770" s="451"/>
      <c r="U770" s="451"/>
      <c r="V770" s="451"/>
    </row>
    <row r="771" spans="1:22" s="441" customFormat="1" ht="45" customHeight="1" hidden="1">
      <c r="A771" s="580"/>
      <c r="B771" s="572"/>
      <c r="C771" s="589">
        <v>4110</v>
      </c>
      <c r="D771" s="450" t="s">
        <v>234</v>
      </c>
      <c r="E771" s="502">
        <f t="shared" si="128"/>
        <v>0</v>
      </c>
      <c r="F771" s="445">
        <f t="shared" si="129"/>
        <v>0</v>
      </c>
      <c r="G771" s="445">
        <f t="shared" si="130"/>
        <v>0</v>
      </c>
      <c r="H771" s="451"/>
      <c r="I771" s="445">
        <f t="shared" si="131"/>
        <v>0</v>
      </c>
      <c r="J771" s="451"/>
      <c r="K771" s="451"/>
      <c r="L771" s="451"/>
      <c r="M771" s="451"/>
      <c r="N771" s="451"/>
      <c r="O771" s="451"/>
      <c r="P771" s="451"/>
      <c r="Q771" s="451"/>
      <c r="R771" s="451"/>
      <c r="S771" s="445">
        <f t="shared" si="132"/>
        <v>0</v>
      </c>
      <c r="T771" s="451"/>
      <c r="U771" s="451"/>
      <c r="V771" s="451"/>
    </row>
    <row r="772" spans="1:22" s="441" customFormat="1" ht="41.25" customHeight="1">
      <c r="A772" s="572"/>
      <c r="B772" s="572"/>
      <c r="C772" s="589">
        <v>4300</v>
      </c>
      <c r="D772" s="450" t="s">
        <v>207</v>
      </c>
      <c r="E772" s="502">
        <f t="shared" si="128"/>
        <v>17000</v>
      </c>
      <c r="F772" s="445">
        <f t="shared" si="129"/>
        <v>17000</v>
      </c>
      <c r="G772" s="445">
        <f t="shared" si="130"/>
        <v>17000</v>
      </c>
      <c r="H772" s="451">
        <v>17000</v>
      </c>
      <c r="I772" s="445">
        <f t="shared" si="131"/>
        <v>0</v>
      </c>
      <c r="J772" s="451"/>
      <c r="K772" s="451"/>
      <c r="L772" s="451"/>
      <c r="M772" s="451"/>
      <c r="N772" s="451"/>
      <c r="O772" s="451"/>
      <c r="P772" s="451"/>
      <c r="Q772" s="451"/>
      <c r="R772" s="451"/>
      <c r="S772" s="445">
        <f t="shared" si="132"/>
        <v>0</v>
      </c>
      <c r="T772" s="451"/>
      <c r="U772" s="451"/>
      <c r="V772" s="451"/>
    </row>
    <row r="773" spans="1:22" s="441" customFormat="1" ht="75" customHeight="1" hidden="1">
      <c r="A773" s="572"/>
      <c r="B773" s="572"/>
      <c r="C773" s="589">
        <v>4400</v>
      </c>
      <c r="D773" s="450" t="s">
        <v>592</v>
      </c>
      <c r="E773" s="502">
        <f t="shared" si="128"/>
        <v>0</v>
      </c>
      <c r="F773" s="445">
        <f t="shared" si="129"/>
        <v>0</v>
      </c>
      <c r="G773" s="445">
        <f t="shared" si="130"/>
        <v>0</v>
      </c>
      <c r="H773" s="451"/>
      <c r="I773" s="445">
        <f t="shared" si="131"/>
        <v>0</v>
      </c>
      <c r="J773" s="451"/>
      <c r="K773" s="451"/>
      <c r="L773" s="451"/>
      <c r="M773" s="451"/>
      <c r="N773" s="451"/>
      <c r="O773" s="451"/>
      <c r="P773" s="451"/>
      <c r="Q773" s="451"/>
      <c r="R773" s="451"/>
      <c r="S773" s="445">
        <f t="shared" si="132"/>
        <v>0</v>
      </c>
      <c r="T773" s="451"/>
      <c r="U773" s="451"/>
      <c r="V773" s="451"/>
    </row>
    <row r="774" spans="1:22" s="441" customFormat="1" ht="45" customHeight="1" hidden="1">
      <c r="A774" s="572"/>
      <c r="B774" s="572"/>
      <c r="C774" s="589">
        <v>4440</v>
      </c>
      <c r="D774" s="450" t="s">
        <v>117</v>
      </c>
      <c r="E774" s="502">
        <f t="shared" si="128"/>
        <v>0</v>
      </c>
      <c r="F774" s="445">
        <f t="shared" si="129"/>
        <v>0</v>
      </c>
      <c r="G774" s="445">
        <f t="shared" si="130"/>
        <v>0</v>
      </c>
      <c r="H774" s="451"/>
      <c r="I774" s="445">
        <f t="shared" si="131"/>
        <v>0</v>
      </c>
      <c r="J774" s="451"/>
      <c r="K774" s="451"/>
      <c r="L774" s="451"/>
      <c r="M774" s="451"/>
      <c r="N774" s="451"/>
      <c r="O774" s="451"/>
      <c r="P774" s="451"/>
      <c r="Q774" s="451"/>
      <c r="R774" s="451"/>
      <c r="S774" s="445">
        <f t="shared" si="132"/>
        <v>0</v>
      </c>
      <c r="T774" s="451"/>
      <c r="U774" s="451"/>
      <c r="V774" s="451"/>
    </row>
    <row r="775" spans="1:22" s="441" customFormat="1" ht="30">
      <c r="A775" s="572"/>
      <c r="B775" s="572"/>
      <c r="C775" s="589">
        <v>4410</v>
      </c>
      <c r="D775" s="450" t="s">
        <v>115</v>
      </c>
      <c r="E775" s="502">
        <f t="shared" si="128"/>
        <v>300</v>
      </c>
      <c r="F775" s="445">
        <f t="shared" si="129"/>
        <v>300</v>
      </c>
      <c r="G775" s="445">
        <f t="shared" si="130"/>
        <v>300</v>
      </c>
      <c r="H775" s="451">
        <v>300</v>
      </c>
      <c r="I775" s="445">
        <f t="shared" si="131"/>
        <v>0</v>
      </c>
      <c r="J775" s="451"/>
      <c r="K775" s="451"/>
      <c r="L775" s="451"/>
      <c r="M775" s="451"/>
      <c r="N775" s="451"/>
      <c r="O775" s="451"/>
      <c r="P775" s="451"/>
      <c r="Q775" s="451"/>
      <c r="R775" s="451"/>
      <c r="S775" s="445">
        <f t="shared" si="132"/>
        <v>0</v>
      </c>
      <c r="T775" s="451"/>
      <c r="U775" s="451"/>
      <c r="V775" s="451"/>
    </row>
    <row r="776" spans="1:22" s="471" customFormat="1" ht="15.75">
      <c r="A776" s="724" t="s">
        <v>761</v>
      </c>
      <c r="B776" s="725"/>
      <c r="C776" s="725"/>
      <c r="D776" s="726"/>
      <c r="E776" s="502">
        <f t="shared" si="128"/>
        <v>72340377</v>
      </c>
      <c r="F776" s="445">
        <f t="shared" si="129"/>
        <v>57946590</v>
      </c>
      <c r="G776" s="445">
        <f t="shared" si="130"/>
        <v>48622146</v>
      </c>
      <c r="H776" s="470">
        <f>H9+H13+H110+H66+H47+H18+H211+H224+H230+H234+H411+H420+H555+H668+H745+H764+H205+H732+H194</f>
        <v>15152304</v>
      </c>
      <c r="I776" s="445">
        <f t="shared" si="131"/>
        <v>33469842</v>
      </c>
      <c r="J776" s="470">
        <f aca="true" t="shared" si="150" ref="J776:R776">J9+J13+J110+J66+J47+J18+J211+J224+J230+J234+J411+J420+J555+J668+J745+J764+J205+J732+J194</f>
        <v>23689217</v>
      </c>
      <c r="K776" s="470">
        <f t="shared" si="150"/>
        <v>1774609</v>
      </c>
      <c r="L776" s="470">
        <f t="shared" si="150"/>
        <v>4537490</v>
      </c>
      <c r="M776" s="470">
        <f t="shared" si="150"/>
        <v>3468526</v>
      </c>
      <c r="N776" s="470">
        <f t="shared" si="150"/>
        <v>3099274</v>
      </c>
      <c r="O776" s="470">
        <f t="shared" si="150"/>
        <v>1232298</v>
      </c>
      <c r="P776" s="470">
        <f t="shared" si="150"/>
        <v>566300</v>
      </c>
      <c r="Q776" s="470">
        <f t="shared" si="150"/>
        <v>422065</v>
      </c>
      <c r="R776" s="470">
        <f t="shared" si="150"/>
        <v>4004507</v>
      </c>
      <c r="S776" s="445">
        <f t="shared" si="132"/>
        <v>14393787</v>
      </c>
      <c r="T776" s="470">
        <f>T9+T13+T110+T66+T47+T18+T211+T224+T230+T234+T411+T420+T555+T668+T745+T764+T205+T732+T194</f>
        <v>11403787</v>
      </c>
      <c r="U776" s="470">
        <f>U9+U13+U110+U66+U47+U18+U211+U224+U230+U234+U411+U420+U555+U668+U745+U764+U205+U732+U194</f>
        <v>4337862</v>
      </c>
      <c r="V776" s="470">
        <f>V9+V13+V110+V66+V47+V18+V211+V224+V230+V234+V411+V420+V555+V668+V745+V764+V205+V732+V194</f>
        <v>2990000</v>
      </c>
    </row>
    <row r="777" spans="5:19" ht="15.75">
      <c r="E777" s="503"/>
      <c r="F777" s="445">
        <f t="shared" si="129"/>
        <v>0</v>
      </c>
      <c r="G777" s="445">
        <f t="shared" si="130"/>
        <v>0</v>
      </c>
      <c r="S777" s="445">
        <f t="shared" si="132"/>
        <v>0</v>
      </c>
    </row>
    <row r="778" spans="3:22" ht="15.75">
      <c r="C778" s="599"/>
      <c r="D778" s="473" t="s">
        <v>76</v>
      </c>
      <c r="E778" s="490">
        <f>F778+U778</f>
        <v>8342369</v>
      </c>
      <c r="F778" s="445">
        <f>R778</f>
        <v>4004507</v>
      </c>
      <c r="G778" s="445">
        <f t="shared" si="130"/>
        <v>0</v>
      </c>
      <c r="H778" s="295"/>
      <c r="I778" s="312"/>
      <c r="J778" s="315">
        <f>J578+J617+J618</f>
        <v>0</v>
      </c>
      <c r="K778" s="315">
        <f>K580</f>
        <v>0</v>
      </c>
      <c r="L778" s="315">
        <f>L387+L388+L582+L584+L622+L623+L625+L626+L389+L390</f>
        <v>0</v>
      </c>
      <c r="M778" s="315"/>
      <c r="N778" s="315"/>
      <c r="O778" s="315">
        <f>O611+O612+O613+O614</f>
        <v>0</v>
      </c>
      <c r="P778" s="295"/>
      <c r="Q778" s="295"/>
      <c r="R778" s="315">
        <f>R776</f>
        <v>4004507</v>
      </c>
      <c r="S778" s="445">
        <f t="shared" si="132"/>
        <v>0</v>
      </c>
      <c r="T778" s="315"/>
      <c r="U778" s="315">
        <f>U776</f>
        <v>4337862</v>
      </c>
      <c r="V778" s="315">
        <f>V45+V44+V610</f>
        <v>0</v>
      </c>
    </row>
    <row r="780" ht="15.75" hidden="1"/>
    <row r="781" ht="15.75" hidden="1">
      <c r="D781" s="472" t="s">
        <v>6</v>
      </c>
    </row>
    <row r="782" ht="15.75" hidden="1"/>
    <row r="783" spans="4:18" ht="15.75" hidden="1">
      <c r="D783" s="601" t="s">
        <v>9</v>
      </c>
      <c r="E783" s="295"/>
      <c r="F783" s="324"/>
      <c r="G783" s="324"/>
      <c r="J783" s="295"/>
      <c r="K783" s="295"/>
      <c r="L783" s="295"/>
      <c r="M783" s="295"/>
      <c r="N783" s="295"/>
      <c r="O783" s="295"/>
      <c r="P783" s="295"/>
      <c r="Q783" s="295"/>
      <c r="R783" s="295">
        <f>R617+R618+R578+R616</f>
        <v>312902</v>
      </c>
    </row>
    <row r="784" spans="4:18" ht="15.75" hidden="1">
      <c r="D784" s="708" t="s">
        <v>10</v>
      </c>
      <c r="E784" s="710"/>
      <c r="F784" s="324"/>
      <c r="G784" s="324"/>
      <c r="J784" s="295"/>
      <c r="K784" s="295"/>
      <c r="L784" s="295"/>
      <c r="M784" s="295"/>
      <c r="N784" s="295"/>
      <c r="O784" s="295"/>
      <c r="P784" s="295"/>
      <c r="Q784" s="295"/>
      <c r="R784" s="295">
        <f>R580+R786</f>
        <v>9579</v>
      </c>
    </row>
    <row r="785" spans="4:18" ht="15.75" hidden="1">
      <c r="D785" s="708" t="s">
        <v>7</v>
      </c>
      <c r="E785" s="710"/>
      <c r="F785" s="295"/>
      <c r="G785" s="295"/>
      <c r="J785" s="295"/>
      <c r="K785" s="295"/>
      <c r="L785" s="295"/>
      <c r="M785" s="295"/>
      <c r="N785" s="295"/>
      <c r="O785" s="295"/>
      <c r="P785" s="295"/>
      <c r="Q785" s="295"/>
      <c r="R785" s="295">
        <f>R622+R623+R625+R626+R582+R584+R621+R624</f>
        <v>106843</v>
      </c>
    </row>
    <row r="786" spans="4:18" ht="15.75" hidden="1">
      <c r="D786" s="632" t="s">
        <v>513</v>
      </c>
      <c r="E786" s="633"/>
      <c r="F786" s="295"/>
      <c r="G786" s="295"/>
      <c r="J786" s="295"/>
      <c r="K786" s="295"/>
      <c r="L786" s="295"/>
      <c r="M786" s="295"/>
      <c r="N786" s="295"/>
      <c r="O786" s="295"/>
      <c r="P786" s="295"/>
      <c r="Q786" s="295"/>
      <c r="R786" s="295">
        <f>R619+R620</f>
        <v>1309</v>
      </c>
    </row>
    <row r="787" spans="4:18" ht="15.75" hidden="1">
      <c r="D787" s="601" t="s">
        <v>8</v>
      </c>
      <c r="E787" s="295"/>
      <c r="F787" s="295"/>
      <c r="G787" s="295"/>
      <c r="J787" s="295"/>
      <c r="K787" s="295"/>
      <c r="L787" s="295"/>
      <c r="M787" s="295"/>
      <c r="N787" s="295"/>
      <c r="O787" s="295"/>
      <c r="P787" s="295"/>
      <c r="Q787" s="295"/>
      <c r="R787" s="295">
        <f>R628+R629+R627</f>
        <v>1845212</v>
      </c>
    </row>
    <row r="788" spans="1:22" s="307" customFormat="1" ht="34.5" customHeight="1" hidden="1">
      <c r="A788" s="605"/>
      <c r="B788" s="605"/>
      <c r="C788" s="606"/>
      <c r="D788" s="473" t="s">
        <v>11</v>
      </c>
      <c r="E788" s="315"/>
      <c r="F788" s="315"/>
      <c r="G788" s="315"/>
      <c r="H788" s="607"/>
      <c r="I788" s="604"/>
      <c r="J788" s="315"/>
      <c r="K788" s="315"/>
      <c r="L788" s="315"/>
      <c r="M788" s="315"/>
      <c r="N788" s="315"/>
      <c r="O788" s="315"/>
      <c r="P788" s="315"/>
      <c r="Q788" s="315"/>
      <c r="R788" s="315">
        <f>SUM(R783:R787)</f>
        <v>2275845</v>
      </c>
      <c r="S788" s="607"/>
      <c r="T788" s="607"/>
      <c r="U788" s="607"/>
      <c r="V788" s="607"/>
    </row>
    <row r="789" spans="4:18" ht="15.75" hidden="1">
      <c r="D789" s="472" t="s">
        <v>514</v>
      </c>
      <c r="R789" s="439">
        <f>R615</f>
        <v>18455</v>
      </c>
    </row>
    <row r="790" ht="15.75" hidden="1"/>
    <row r="791" spans="4:18" ht="15.75" hidden="1">
      <c r="D791" s="601" t="s">
        <v>23</v>
      </c>
      <c r="R791" s="295">
        <f>U776</f>
        <v>4337862</v>
      </c>
    </row>
    <row r="792" spans="4:18" ht="15.75" hidden="1">
      <c r="D792" s="601" t="s">
        <v>25</v>
      </c>
      <c r="R792" s="295">
        <f>R776</f>
        <v>4004507</v>
      </c>
    </row>
    <row r="793" spans="1:22" s="307" customFormat="1" ht="15.75" hidden="1">
      <c r="A793" s="605"/>
      <c r="B793" s="605"/>
      <c r="C793" s="606"/>
      <c r="D793" s="473" t="s">
        <v>24</v>
      </c>
      <c r="E793" s="607"/>
      <c r="F793" s="607"/>
      <c r="G793" s="607"/>
      <c r="H793" s="607"/>
      <c r="I793" s="604"/>
      <c r="J793" s="607"/>
      <c r="K793" s="607"/>
      <c r="L793" s="607"/>
      <c r="M793" s="607"/>
      <c r="N793" s="607"/>
      <c r="O793" s="607"/>
      <c r="P793" s="607"/>
      <c r="Q793" s="607"/>
      <c r="R793" s="315">
        <f>SUM(R791:R792)</f>
        <v>8342369</v>
      </c>
      <c r="S793" s="607"/>
      <c r="T793" s="607"/>
      <c r="U793" s="607"/>
      <c r="V793" s="607"/>
    </row>
    <row r="794" ht="15.75" hidden="1"/>
    <row r="795" ht="15.75" hidden="1"/>
    <row r="796" ht="15.75" hidden="1"/>
    <row r="797" ht="15.75" hidden="1"/>
    <row r="798" ht="15.75" hidden="1"/>
    <row r="799" ht="15.75" hidden="1"/>
    <row r="800" ht="15.75" hidden="1"/>
    <row r="801" ht="15.75" hidden="1"/>
    <row r="802" ht="15.75" hidden="1"/>
    <row r="803" ht="15.75" hidden="1"/>
    <row r="804" ht="15.75" hidden="1"/>
    <row r="805" ht="15.75" hidden="1"/>
    <row r="806" ht="15.75" hidden="1"/>
    <row r="807" ht="15.75" hidden="1"/>
    <row r="808" ht="15.75" hidden="1"/>
    <row r="809" ht="15.75" hidden="1"/>
    <row r="810" ht="15.75" hidden="1"/>
    <row r="811" ht="15.75" hidden="1"/>
  </sheetData>
  <sheetProtection/>
  <mergeCells count="27">
    <mergeCell ref="A1:S1"/>
    <mergeCell ref="E2:E7"/>
    <mergeCell ref="A2:A7"/>
    <mergeCell ref="D2:D7"/>
    <mergeCell ref="B2:B7"/>
    <mergeCell ref="F3:F7"/>
    <mergeCell ref="S3:S7"/>
    <mergeCell ref="H4:M5"/>
    <mergeCell ref="C2:C7"/>
    <mergeCell ref="F2:V2"/>
    <mergeCell ref="D784:E784"/>
    <mergeCell ref="D785:E785"/>
    <mergeCell ref="G4:G7"/>
    <mergeCell ref="G3:R3"/>
    <mergeCell ref="O4:O7"/>
    <mergeCell ref="P4:P7"/>
    <mergeCell ref="Q4:Q7"/>
    <mergeCell ref="A776:D776"/>
    <mergeCell ref="I6:I7"/>
    <mergeCell ref="H6:H7"/>
    <mergeCell ref="J6:M6"/>
    <mergeCell ref="T3:V3"/>
    <mergeCell ref="T4:T7"/>
    <mergeCell ref="U6:U7"/>
    <mergeCell ref="V4:V7"/>
    <mergeCell ref="R4:R7"/>
    <mergeCell ref="N4:N7"/>
  </mergeCells>
  <printOptions horizontalCentered="1"/>
  <pageMargins left="0.3937007874015748" right="0.3937007874015748" top="1.1023622047244095" bottom="0.5905511811023623" header="0.5118110236220472" footer="0.5118110236220472"/>
  <pageSetup horizontalDpi="600" verticalDpi="600" orientation="landscape" paperSize="9" scale="50" r:id="rId1"/>
  <headerFooter alignWithMargins="0">
    <oddHeader>&amp;RZałącznik nr 2
do uchwały Rady Powiatu 
nr XXXIV/210/10
z dnia 15.10.2010 r.</oddHeader>
  </headerFooter>
</worksheet>
</file>

<file path=xl/worksheets/sheet3.xml><?xml version="1.0" encoding="utf-8"?>
<worksheet xmlns="http://schemas.openxmlformats.org/spreadsheetml/2006/main" xmlns:r="http://schemas.openxmlformats.org/officeDocument/2006/relationships">
  <dimension ref="A1:R61"/>
  <sheetViews>
    <sheetView zoomScalePageLayoutView="0" workbookViewId="0" topLeftCell="B4">
      <pane ySplit="5" topLeftCell="A9" activePane="bottomLeft" state="frozen"/>
      <selection pane="topLeft" activeCell="A4" sqref="A4"/>
      <selection pane="bottomLeft" activeCell="R61" sqref="R61"/>
    </sheetView>
  </sheetViews>
  <sheetFormatPr defaultColWidth="9.00390625" defaultRowHeight="12.75"/>
  <cols>
    <col min="1" max="1" width="3.625" style="197" customWidth="1"/>
    <col min="2" max="2" width="5.625" style="255" customWidth="1"/>
    <col min="3" max="3" width="7.75390625" style="255" customWidth="1"/>
    <col min="4" max="4" width="4.875" style="255" customWidth="1"/>
    <col min="5" max="5" width="18.25390625" style="255" customWidth="1"/>
    <col min="6" max="6" width="12.00390625" style="255" customWidth="1"/>
    <col min="7" max="7" width="12.375" style="255" customWidth="1"/>
    <col min="8" max="9" width="10.125" style="255" customWidth="1"/>
    <col min="10" max="10" width="11.25390625" style="436" bestFit="1" customWidth="1"/>
    <col min="11" max="12" width="9.125" style="255" customWidth="1"/>
    <col min="13" max="13" width="11.625" style="255" customWidth="1"/>
    <col min="14" max="14" width="11.25390625" style="221" bestFit="1" customWidth="1"/>
    <col min="15" max="15" width="10.125" style="255" bestFit="1" customWidth="1"/>
    <col min="16" max="16" width="13.875" style="221" customWidth="1"/>
    <col min="17" max="16384" width="9.125" style="255" customWidth="1"/>
  </cols>
  <sheetData>
    <row r="1" spans="2:16" ht="15.75">
      <c r="B1" s="744" t="s">
        <v>147</v>
      </c>
      <c r="C1" s="744"/>
      <c r="D1" s="744"/>
      <c r="E1" s="744"/>
      <c r="F1" s="744"/>
      <c r="G1" s="744"/>
      <c r="H1" s="744"/>
      <c r="I1" s="744"/>
      <c r="J1" s="744"/>
      <c r="K1" s="744"/>
      <c r="L1" s="744"/>
      <c r="M1" s="744"/>
      <c r="N1" s="744"/>
      <c r="O1" s="744"/>
      <c r="P1" s="744"/>
    </row>
    <row r="2" spans="2:16" ht="10.5" customHeight="1">
      <c r="B2" s="12"/>
      <c r="C2" s="12"/>
      <c r="D2" s="12"/>
      <c r="E2" s="12"/>
      <c r="F2" s="12"/>
      <c r="G2" s="12"/>
      <c r="H2" s="12"/>
      <c r="I2" s="12"/>
      <c r="J2" s="433"/>
      <c r="K2" s="12"/>
      <c r="L2" s="12"/>
      <c r="M2" s="12"/>
      <c r="N2" s="218"/>
      <c r="O2" s="12"/>
      <c r="P2" s="8" t="s">
        <v>704</v>
      </c>
    </row>
    <row r="3" spans="1:16" s="35" customFormat="1" ht="19.5" customHeight="1">
      <c r="A3" s="751" t="s">
        <v>619</v>
      </c>
      <c r="B3" s="745" t="s">
        <v>665</v>
      </c>
      <c r="C3" s="746" t="s">
        <v>703</v>
      </c>
      <c r="D3" s="757" t="s">
        <v>790</v>
      </c>
      <c r="E3" s="743" t="s">
        <v>775</v>
      </c>
      <c r="F3" s="740" t="s">
        <v>553</v>
      </c>
      <c r="G3" s="743" t="s">
        <v>733</v>
      </c>
      <c r="H3" s="743"/>
      <c r="I3" s="743"/>
      <c r="J3" s="743"/>
      <c r="K3" s="743"/>
      <c r="L3" s="743"/>
      <c r="M3" s="743"/>
      <c r="N3" s="743"/>
      <c r="O3" s="743"/>
      <c r="P3" s="747" t="s">
        <v>791</v>
      </c>
    </row>
    <row r="4" spans="1:16" s="35" customFormat="1" ht="19.5" customHeight="1">
      <c r="A4" s="752"/>
      <c r="B4" s="745"/>
      <c r="C4" s="746"/>
      <c r="D4" s="757"/>
      <c r="E4" s="743"/>
      <c r="F4" s="741"/>
      <c r="G4" s="743" t="s">
        <v>146</v>
      </c>
      <c r="H4" s="743" t="s">
        <v>83</v>
      </c>
      <c r="I4" s="743"/>
      <c r="J4" s="743"/>
      <c r="K4" s="743"/>
      <c r="L4" s="743"/>
      <c r="M4" s="743"/>
      <c r="N4" s="747">
        <v>2011</v>
      </c>
      <c r="O4" s="743" t="s">
        <v>544</v>
      </c>
      <c r="P4" s="747"/>
    </row>
    <row r="5" spans="1:16" s="35" customFormat="1" ht="48" customHeight="1">
      <c r="A5" s="752"/>
      <c r="B5" s="745"/>
      <c r="C5" s="746"/>
      <c r="D5" s="757"/>
      <c r="E5" s="743"/>
      <c r="F5" s="741"/>
      <c r="G5" s="743"/>
      <c r="H5" s="747" t="s">
        <v>484</v>
      </c>
      <c r="I5" s="747" t="s">
        <v>383</v>
      </c>
      <c r="J5" s="754" t="s">
        <v>821</v>
      </c>
      <c r="K5" s="747" t="s">
        <v>152</v>
      </c>
      <c r="L5" s="747" t="s">
        <v>153</v>
      </c>
      <c r="M5" s="747" t="s">
        <v>796</v>
      </c>
      <c r="N5" s="747"/>
      <c r="O5" s="743"/>
      <c r="P5" s="747"/>
    </row>
    <row r="6" spans="1:16" s="35" customFormat="1" ht="19.5" customHeight="1">
      <c r="A6" s="752"/>
      <c r="B6" s="745"/>
      <c r="C6" s="746"/>
      <c r="D6" s="757"/>
      <c r="E6" s="743"/>
      <c r="F6" s="741"/>
      <c r="G6" s="743"/>
      <c r="H6" s="747"/>
      <c r="I6" s="747"/>
      <c r="J6" s="754"/>
      <c r="K6" s="747"/>
      <c r="L6" s="747"/>
      <c r="M6" s="747"/>
      <c r="N6" s="747"/>
      <c r="O6" s="743"/>
      <c r="P6" s="747"/>
    </row>
    <row r="7" spans="1:16" s="35" customFormat="1" ht="36" customHeight="1">
      <c r="A7" s="753"/>
      <c r="B7" s="745"/>
      <c r="C7" s="746"/>
      <c r="D7" s="757"/>
      <c r="E7" s="743"/>
      <c r="F7" s="742"/>
      <c r="G7" s="743"/>
      <c r="H7" s="747"/>
      <c r="I7" s="747"/>
      <c r="J7" s="754"/>
      <c r="K7" s="747"/>
      <c r="L7" s="747"/>
      <c r="M7" s="747"/>
      <c r="N7" s="747"/>
      <c r="O7" s="743"/>
      <c r="P7" s="747"/>
    </row>
    <row r="8" spans="1:16" ht="7.5" customHeight="1">
      <c r="A8" s="265">
        <v>1</v>
      </c>
      <c r="B8" s="229">
        <v>2</v>
      </c>
      <c r="C8" s="16">
        <v>3</v>
      </c>
      <c r="D8" s="16">
        <v>4</v>
      </c>
      <c r="E8" s="16">
        <v>5</v>
      </c>
      <c r="F8" s="16">
        <v>6</v>
      </c>
      <c r="G8" s="216">
        <v>7</v>
      </c>
      <c r="H8" s="16">
        <v>8</v>
      </c>
      <c r="I8" s="16">
        <v>9</v>
      </c>
      <c r="J8" s="214">
        <v>10</v>
      </c>
      <c r="K8" s="16">
        <v>11</v>
      </c>
      <c r="L8" s="16">
        <v>12</v>
      </c>
      <c r="M8" s="16">
        <v>13</v>
      </c>
      <c r="N8" s="219">
        <v>14</v>
      </c>
      <c r="O8" s="16">
        <v>15</v>
      </c>
      <c r="P8" s="219">
        <v>16</v>
      </c>
    </row>
    <row r="9" spans="1:16" s="227" customFormat="1" ht="123.75">
      <c r="A9" s="265">
        <v>1</v>
      </c>
      <c r="B9" s="231">
        <v>600</v>
      </c>
      <c r="C9" s="225">
        <v>60014</v>
      </c>
      <c r="D9" s="225">
        <v>605</v>
      </c>
      <c r="E9" s="365" t="s">
        <v>612</v>
      </c>
      <c r="F9" s="228">
        <f>SUM(F11:F22)</f>
        <v>15745393</v>
      </c>
      <c r="G9" s="228">
        <f aca="true" t="shared" si="0" ref="G9:O9">SUM(G11:G22)</f>
        <v>5899317</v>
      </c>
      <c r="H9" s="228">
        <f t="shared" si="0"/>
        <v>3304264</v>
      </c>
      <c r="I9" s="228">
        <f t="shared" si="0"/>
        <v>0</v>
      </c>
      <c r="J9" s="228">
        <f t="shared" si="0"/>
        <v>2595053</v>
      </c>
      <c r="K9" s="228">
        <f t="shared" si="0"/>
        <v>0</v>
      </c>
      <c r="L9" s="228">
        <f t="shared" si="0"/>
        <v>0</v>
      </c>
      <c r="M9" s="228">
        <f t="shared" si="0"/>
        <v>0</v>
      </c>
      <c r="N9" s="228">
        <f t="shared" si="0"/>
        <v>9803854</v>
      </c>
      <c r="O9" s="228">
        <f t="shared" si="0"/>
        <v>0</v>
      </c>
      <c r="P9" s="364" t="s">
        <v>607</v>
      </c>
    </row>
    <row r="10" spans="1:16" s="227" customFormat="1" ht="14.25">
      <c r="A10" s="265"/>
      <c r="B10" s="231"/>
      <c r="C10" s="225"/>
      <c r="D10" s="225"/>
      <c r="E10" s="225" t="s">
        <v>458</v>
      </c>
      <c r="F10" s="225"/>
      <c r="G10" s="226"/>
      <c r="H10" s="225"/>
      <c r="I10" s="225"/>
      <c r="J10" s="214"/>
      <c r="K10" s="225"/>
      <c r="L10" s="225"/>
      <c r="M10" s="225"/>
      <c r="N10" s="219"/>
      <c r="O10" s="225"/>
      <c r="P10" s="219"/>
    </row>
    <row r="11" spans="1:17" ht="111" customHeight="1">
      <c r="A11" s="265"/>
      <c r="B11" s="368"/>
      <c r="C11" s="254"/>
      <c r="D11" s="215"/>
      <c r="E11" s="89" t="s">
        <v>161</v>
      </c>
      <c r="F11" s="144">
        <f aca="true" t="shared" si="1" ref="F11:F22">G11+N11+O11</f>
        <v>2696547</v>
      </c>
      <c r="G11" s="256">
        <f aca="true" t="shared" si="2" ref="G11:G18">SUM(H11:M11)</f>
        <v>2696547</v>
      </c>
      <c r="H11" s="631">
        <v>1644894</v>
      </c>
      <c r="I11" s="356"/>
      <c r="J11" s="434">
        <f>1762800-445000-60000-60000-87523-58624</f>
        <v>1051653</v>
      </c>
      <c r="K11" s="356">
        <v>0</v>
      </c>
      <c r="L11" s="356">
        <v>0</v>
      </c>
      <c r="M11" s="356">
        <v>0</v>
      </c>
      <c r="N11" s="379"/>
      <c r="O11" s="356"/>
      <c r="P11" s="219" t="s">
        <v>606</v>
      </c>
      <c r="Q11" s="1"/>
    </row>
    <row r="12" spans="1:16" ht="60">
      <c r="A12" s="265"/>
      <c r="B12" s="367"/>
      <c r="C12" s="254"/>
      <c r="D12" s="215"/>
      <c r="E12" s="89" t="s">
        <v>657</v>
      </c>
      <c r="F12" s="144">
        <f t="shared" si="1"/>
        <v>258587</v>
      </c>
      <c r="G12" s="256">
        <f t="shared" si="2"/>
        <v>258587</v>
      </c>
      <c r="H12" s="679">
        <f>28445</f>
        <v>28445</v>
      </c>
      <c r="I12" s="16"/>
      <c r="J12" s="214">
        <f>320400-125100+34842</f>
        <v>230142</v>
      </c>
      <c r="K12" s="16"/>
      <c r="L12" s="16"/>
      <c r="M12" s="16"/>
      <c r="N12" s="220"/>
      <c r="O12" s="144"/>
      <c r="P12" s="219" t="s">
        <v>606</v>
      </c>
    </row>
    <row r="13" spans="1:16" ht="72">
      <c r="A13" s="265"/>
      <c r="B13" s="367"/>
      <c r="C13" s="254"/>
      <c r="D13" s="215"/>
      <c r="E13" s="89" t="s">
        <v>541</v>
      </c>
      <c r="F13" s="144">
        <f>G13+N13+O13</f>
        <v>1756000</v>
      </c>
      <c r="G13" s="256">
        <f>SUM(H13:M13)</f>
        <v>0</v>
      </c>
      <c r="H13" s="16"/>
      <c r="I13" s="16"/>
      <c r="J13" s="214"/>
      <c r="K13" s="16"/>
      <c r="L13" s="16"/>
      <c r="M13" s="16"/>
      <c r="N13" s="220">
        <v>1756000</v>
      </c>
      <c r="O13" s="144"/>
      <c r="P13" s="219" t="s">
        <v>606</v>
      </c>
    </row>
    <row r="14" spans="1:16" ht="72">
      <c r="A14" s="265"/>
      <c r="B14" s="367"/>
      <c r="C14" s="254"/>
      <c r="D14" s="215"/>
      <c r="E14" s="89" t="s">
        <v>540</v>
      </c>
      <c r="F14" s="144">
        <f>G14+N14+O14</f>
        <v>4045000</v>
      </c>
      <c r="G14" s="256">
        <f>SUM(H14:M14)</f>
        <v>0</v>
      </c>
      <c r="H14" s="16"/>
      <c r="I14" s="16"/>
      <c r="J14" s="214"/>
      <c r="K14" s="16"/>
      <c r="L14" s="16"/>
      <c r="M14" s="16"/>
      <c r="N14" s="220">
        <v>4045000</v>
      </c>
      <c r="O14" s="144"/>
      <c r="P14" s="219" t="s">
        <v>606</v>
      </c>
    </row>
    <row r="15" spans="1:18" ht="48" customHeight="1">
      <c r="A15" s="265"/>
      <c r="B15" s="367" t="s">
        <v>606</v>
      </c>
      <c r="C15" s="254" t="s">
        <v>606</v>
      </c>
      <c r="D15" s="215">
        <v>605</v>
      </c>
      <c r="E15" s="89" t="s">
        <v>248</v>
      </c>
      <c r="F15" s="681">
        <f t="shared" si="1"/>
        <v>276780</v>
      </c>
      <c r="G15" s="676">
        <f t="shared" si="2"/>
        <v>276780</v>
      </c>
      <c r="H15" s="682">
        <f>30445</f>
        <v>30445</v>
      </c>
      <c r="I15" s="682"/>
      <c r="J15" s="683">
        <f>445000-119200-79465</f>
        <v>246335</v>
      </c>
      <c r="K15" s="16"/>
      <c r="L15" s="16"/>
      <c r="M15" s="16"/>
      <c r="N15" s="220"/>
      <c r="O15" s="144"/>
      <c r="P15" s="219" t="s">
        <v>606</v>
      </c>
      <c r="R15" s="1" t="s">
        <v>549</v>
      </c>
    </row>
    <row r="16" spans="1:16" ht="156">
      <c r="A16" s="265"/>
      <c r="B16" s="367"/>
      <c r="C16" s="254"/>
      <c r="D16" s="215"/>
      <c r="E16" s="89" t="s">
        <v>165</v>
      </c>
      <c r="F16" s="144">
        <f t="shared" si="1"/>
        <v>2511339</v>
      </c>
      <c r="G16" s="256">
        <f t="shared" si="2"/>
        <v>2511339</v>
      </c>
      <c r="H16" s="682">
        <f>463100+2105000-186853-849331</f>
        <v>1531916</v>
      </c>
      <c r="I16" s="16"/>
      <c r="J16" s="214">
        <f>1641900-662477</f>
        <v>979423</v>
      </c>
      <c r="K16" s="16"/>
      <c r="L16" s="16"/>
      <c r="M16" s="16"/>
      <c r="N16" s="220"/>
      <c r="O16" s="144"/>
      <c r="P16" s="219" t="s">
        <v>606</v>
      </c>
    </row>
    <row r="17" spans="1:16" ht="62.25" customHeight="1" hidden="1">
      <c r="A17" s="265"/>
      <c r="B17" s="368" t="s">
        <v>606</v>
      </c>
      <c r="C17" s="254" t="s">
        <v>606</v>
      </c>
      <c r="D17" s="215">
        <v>605</v>
      </c>
      <c r="E17" s="144">
        <f>F17+M17+N17</f>
        <v>0</v>
      </c>
      <c r="F17" s="144">
        <f t="shared" si="1"/>
        <v>0</v>
      </c>
      <c r="G17" s="256">
        <f t="shared" si="2"/>
        <v>0</v>
      </c>
      <c r="H17" s="356"/>
      <c r="I17" s="356"/>
      <c r="J17" s="434"/>
      <c r="K17" s="356">
        <v>0</v>
      </c>
      <c r="L17" s="356">
        <v>0</v>
      </c>
      <c r="M17" s="356">
        <v>0</v>
      </c>
      <c r="N17" s="379">
        <v>0</v>
      </c>
      <c r="O17" s="356"/>
      <c r="P17" s="219" t="s">
        <v>606</v>
      </c>
    </row>
    <row r="18" spans="1:16" ht="62.25" customHeight="1" hidden="1">
      <c r="A18" s="265"/>
      <c r="B18" s="381" t="s">
        <v>655</v>
      </c>
      <c r="C18" s="366" t="s">
        <v>656</v>
      </c>
      <c r="D18" s="215">
        <v>605</v>
      </c>
      <c r="E18" s="486" t="s">
        <v>474</v>
      </c>
      <c r="F18" s="144">
        <f t="shared" si="1"/>
        <v>0</v>
      </c>
      <c r="G18" s="256">
        <f t="shared" si="2"/>
        <v>0</v>
      </c>
      <c r="H18" s="356"/>
      <c r="I18" s="356"/>
      <c r="J18" s="434"/>
      <c r="K18" s="356"/>
      <c r="L18" s="356"/>
      <c r="M18" s="356"/>
      <c r="N18" s="379"/>
      <c r="O18" s="356"/>
      <c r="P18" s="219" t="s">
        <v>475</v>
      </c>
    </row>
    <row r="19" spans="1:16" ht="62.25" customHeight="1">
      <c r="A19" s="265"/>
      <c r="B19" s="381"/>
      <c r="C19" s="366"/>
      <c r="D19" s="215"/>
      <c r="E19" s="620"/>
      <c r="F19" s="144">
        <f>G19+N19+O19</f>
        <v>0</v>
      </c>
      <c r="G19" s="256"/>
      <c r="H19" s="16"/>
      <c r="I19" s="16"/>
      <c r="J19" s="214"/>
      <c r="K19" s="16"/>
      <c r="L19" s="16"/>
      <c r="M19" s="16"/>
      <c r="N19" s="220"/>
      <c r="O19" s="144"/>
      <c r="P19" s="219" t="s">
        <v>606</v>
      </c>
    </row>
    <row r="20" spans="1:16" ht="67.5">
      <c r="A20" s="265"/>
      <c r="B20" s="368"/>
      <c r="C20" s="254"/>
      <c r="D20" s="215"/>
      <c r="E20" s="365" t="s">
        <v>538</v>
      </c>
      <c r="F20" s="144">
        <f>G20+N20+O20+42222</f>
        <v>4113640</v>
      </c>
      <c r="G20" s="256">
        <f aca="true" t="shared" si="3" ref="G20:G52">SUM(H20:M20)</f>
        <v>68564</v>
      </c>
      <c r="H20" s="356">
        <v>68564</v>
      </c>
      <c r="I20" s="356"/>
      <c r="J20" s="434"/>
      <c r="K20" s="356">
        <v>0</v>
      </c>
      <c r="L20" s="356">
        <v>0</v>
      </c>
      <c r="M20" s="356">
        <v>0</v>
      </c>
      <c r="N20" s="379">
        <v>4002854</v>
      </c>
      <c r="O20" s="356"/>
      <c r="P20" s="219" t="s">
        <v>606</v>
      </c>
    </row>
    <row r="21" spans="1:16" ht="135">
      <c r="A21" s="265"/>
      <c r="B21" s="368"/>
      <c r="C21" s="254"/>
      <c r="D21" s="215">
        <v>661</v>
      </c>
      <c r="E21" s="365" t="s">
        <v>822</v>
      </c>
      <c r="F21" s="144">
        <f t="shared" si="1"/>
        <v>10000</v>
      </c>
      <c r="G21" s="256">
        <f t="shared" si="3"/>
        <v>10000</v>
      </c>
      <c r="H21" s="676">
        <v>0</v>
      </c>
      <c r="I21" s="356"/>
      <c r="J21" s="434">
        <v>10000</v>
      </c>
      <c r="K21" s="356"/>
      <c r="L21" s="356"/>
      <c r="M21" s="356"/>
      <c r="N21" s="379"/>
      <c r="O21" s="356"/>
      <c r="P21" s="219"/>
    </row>
    <row r="22" spans="1:16" ht="142.5" customHeight="1">
      <c r="A22" s="265"/>
      <c r="B22" s="368"/>
      <c r="C22" s="254"/>
      <c r="D22" s="215">
        <v>661</v>
      </c>
      <c r="E22" s="567" t="s">
        <v>0</v>
      </c>
      <c r="F22" s="144">
        <f t="shared" si="1"/>
        <v>77500</v>
      </c>
      <c r="G22" s="256">
        <f t="shared" si="3"/>
        <v>77500</v>
      </c>
      <c r="H22" s="676"/>
      <c r="I22" s="356"/>
      <c r="J22" s="434">
        <v>77500</v>
      </c>
      <c r="K22" s="356"/>
      <c r="L22" s="356"/>
      <c r="M22" s="356"/>
      <c r="N22" s="379"/>
      <c r="O22" s="356"/>
      <c r="P22" s="219"/>
    </row>
    <row r="23" spans="1:16" ht="49.5">
      <c r="A23" s="265"/>
      <c r="B23" s="368"/>
      <c r="C23" s="254"/>
      <c r="D23" s="215">
        <v>661</v>
      </c>
      <c r="E23" s="568" t="s">
        <v>548</v>
      </c>
      <c r="F23" s="144">
        <f>G23+N23+O23</f>
        <v>12000</v>
      </c>
      <c r="G23" s="256">
        <f>SUM(H23:M23)</f>
        <v>0</v>
      </c>
      <c r="H23" s="356"/>
      <c r="I23" s="356"/>
      <c r="J23" s="434"/>
      <c r="K23" s="356"/>
      <c r="L23" s="356"/>
      <c r="M23" s="356"/>
      <c r="N23" s="379">
        <v>12000</v>
      </c>
      <c r="O23" s="356"/>
      <c r="P23" s="219"/>
    </row>
    <row r="24" spans="1:16" ht="78" customHeight="1">
      <c r="A24" s="265">
        <v>2</v>
      </c>
      <c r="B24" s="374" t="s">
        <v>811</v>
      </c>
      <c r="C24" s="565" t="s">
        <v>820</v>
      </c>
      <c r="D24" s="215">
        <v>605</v>
      </c>
      <c r="E24" s="89" t="s">
        <v>129</v>
      </c>
      <c r="F24" s="144">
        <f>F25+F26+F27</f>
        <v>40190164</v>
      </c>
      <c r="G24" s="256">
        <f t="shared" si="3"/>
        <v>1107497</v>
      </c>
      <c r="H24" s="356">
        <f>H25+H26+H27</f>
        <v>1107497</v>
      </c>
      <c r="I24" s="356">
        <f aca="true" t="shared" si="4" ref="I24:O24">I25+I26+I27</f>
        <v>0</v>
      </c>
      <c r="J24" s="356">
        <f t="shared" si="4"/>
        <v>0</v>
      </c>
      <c r="K24" s="356">
        <f t="shared" si="4"/>
        <v>0</v>
      </c>
      <c r="L24" s="356">
        <f t="shared" si="4"/>
        <v>0</v>
      </c>
      <c r="M24" s="356">
        <f t="shared" si="4"/>
        <v>0</v>
      </c>
      <c r="N24" s="356">
        <f t="shared" si="4"/>
        <v>15357431</v>
      </c>
      <c r="O24" s="356">
        <f t="shared" si="4"/>
        <v>23243536</v>
      </c>
      <c r="P24" s="364" t="s">
        <v>367</v>
      </c>
    </row>
    <row r="25" spans="1:18" ht="78" customHeight="1">
      <c r="A25" s="265"/>
      <c r="B25" s="374" t="s">
        <v>818</v>
      </c>
      <c r="C25" s="565" t="s">
        <v>819</v>
      </c>
      <c r="D25" s="215"/>
      <c r="E25" s="520" t="s">
        <v>148</v>
      </c>
      <c r="F25" s="144">
        <f>G25+N25+O25+373766</f>
        <v>8348049</v>
      </c>
      <c r="G25" s="256">
        <f t="shared" si="3"/>
        <v>58031</v>
      </c>
      <c r="H25" s="356">
        <f>16465+10774+30792</f>
        <v>58031</v>
      </c>
      <c r="I25" s="356"/>
      <c r="J25" s="434"/>
      <c r="K25" s="356"/>
      <c r="L25" s="356"/>
      <c r="M25" s="676"/>
      <c r="N25" s="356">
        <v>7916252</v>
      </c>
      <c r="O25" s="379">
        <v>0</v>
      </c>
      <c r="P25" s="364"/>
      <c r="R25" s="255">
        <f>4478638+15565321+5975352</f>
        <v>26019311</v>
      </c>
    </row>
    <row r="26" spans="1:16" ht="69.75">
      <c r="A26" s="265"/>
      <c r="B26" s="368"/>
      <c r="C26" s="565" t="s">
        <v>34</v>
      </c>
      <c r="D26" s="215"/>
      <c r="E26" s="521" t="s">
        <v>149</v>
      </c>
      <c r="F26" s="144">
        <f>G26+N26+O26+74042</f>
        <v>23666518</v>
      </c>
      <c r="G26" s="256">
        <f t="shared" si="3"/>
        <v>724852</v>
      </c>
      <c r="H26" s="356">
        <f>315704+147617+216241+45290</f>
        <v>724852</v>
      </c>
      <c r="I26" s="356"/>
      <c r="J26" s="434"/>
      <c r="K26" s="356"/>
      <c r="L26" s="356"/>
      <c r="M26" s="356"/>
      <c r="N26" s="356">
        <v>95224</v>
      </c>
      <c r="O26" s="379">
        <v>22772400</v>
      </c>
      <c r="P26" s="364"/>
    </row>
    <row r="27" spans="1:16" ht="41.25">
      <c r="A27" s="265"/>
      <c r="B27" s="368"/>
      <c r="C27" s="565" t="s">
        <v>34</v>
      </c>
      <c r="D27" s="215"/>
      <c r="E27" s="521" t="s">
        <v>150</v>
      </c>
      <c r="F27" s="144">
        <f>G27+N27+O27+33892</f>
        <v>8175597</v>
      </c>
      <c r="G27" s="256">
        <f t="shared" si="3"/>
        <v>324614</v>
      </c>
      <c r="H27" s="356">
        <f>70243+54401+125847+74123</f>
        <v>324614</v>
      </c>
      <c r="I27" s="356"/>
      <c r="J27" s="434"/>
      <c r="K27" s="356"/>
      <c r="L27" s="356"/>
      <c r="M27" s="356"/>
      <c r="N27" s="356">
        <v>7345955</v>
      </c>
      <c r="O27" s="379">
        <v>471136</v>
      </c>
      <c r="P27" s="364"/>
    </row>
    <row r="28" spans="1:16" ht="78" customHeight="1" hidden="1">
      <c r="A28" s="265">
        <v>3</v>
      </c>
      <c r="B28" s="368" t="s">
        <v>581</v>
      </c>
      <c r="C28" s="254" t="s">
        <v>581</v>
      </c>
      <c r="D28" s="215">
        <v>605</v>
      </c>
      <c r="E28" s="89" t="s">
        <v>473</v>
      </c>
      <c r="F28" s="144">
        <f aca="true" t="shared" si="5" ref="F28:F37">G28+N28+O28</f>
        <v>0</v>
      </c>
      <c r="G28" s="256">
        <f t="shared" si="3"/>
        <v>0</v>
      </c>
      <c r="H28" s="356"/>
      <c r="I28" s="356"/>
      <c r="J28" s="434"/>
      <c r="K28" s="356"/>
      <c r="L28" s="356"/>
      <c r="M28" s="356"/>
      <c r="N28" s="356"/>
      <c r="O28" s="379"/>
      <c r="P28" s="364" t="s">
        <v>367</v>
      </c>
    </row>
    <row r="29" spans="1:16" ht="22.5">
      <c r="A29" s="265">
        <v>3</v>
      </c>
      <c r="B29" s="376">
        <v>700</v>
      </c>
      <c r="C29" s="377">
        <v>70005</v>
      </c>
      <c r="D29" s="380">
        <v>6050</v>
      </c>
      <c r="E29" s="235" t="s">
        <v>183</v>
      </c>
      <c r="F29" s="144">
        <f t="shared" si="5"/>
        <v>124600</v>
      </c>
      <c r="G29" s="256">
        <f t="shared" si="3"/>
        <v>124600</v>
      </c>
      <c r="H29" s="356">
        <f>2!S63-18235-4000</f>
        <v>102365</v>
      </c>
      <c r="I29" s="356"/>
      <c r="J29" s="434"/>
      <c r="K29" s="355">
        <v>22235</v>
      </c>
      <c r="L29" s="355"/>
      <c r="M29" s="356"/>
      <c r="N29" s="379"/>
      <c r="O29" s="356"/>
      <c r="P29" s="522" t="s">
        <v>368</v>
      </c>
    </row>
    <row r="30" spans="1:16" ht="25.5" customHeight="1" hidden="1">
      <c r="A30" s="265">
        <v>6</v>
      </c>
      <c r="B30" s="376">
        <v>700</v>
      </c>
      <c r="C30" s="377">
        <v>70005</v>
      </c>
      <c r="D30" s="380">
        <v>6060</v>
      </c>
      <c r="E30" s="394" t="s">
        <v>803</v>
      </c>
      <c r="F30" s="144">
        <f t="shared" si="5"/>
        <v>0</v>
      </c>
      <c r="G30" s="256">
        <f t="shared" si="3"/>
        <v>0</v>
      </c>
      <c r="H30" s="356">
        <f>2!S64</f>
        <v>0</v>
      </c>
      <c r="I30" s="356"/>
      <c r="J30" s="434"/>
      <c r="K30" s="355"/>
      <c r="L30" s="355"/>
      <c r="M30" s="356"/>
      <c r="N30" s="379"/>
      <c r="O30" s="356"/>
      <c r="P30" s="522" t="s">
        <v>368</v>
      </c>
    </row>
    <row r="31" spans="1:16" ht="45">
      <c r="A31" s="265">
        <v>4</v>
      </c>
      <c r="B31" s="701" t="s">
        <v>824</v>
      </c>
      <c r="C31" s="565" t="s">
        <v>823</v>
      </c>
      <c r="D31" s="254">
        <v>606</v>
      </c>
      <c r="E31" s="87" t="s">
        <v>825</v>
      </c>
      <c r="F31" s="144">
        <f t="shared" si="5"/>
        <v>159308</v>
      </c>
      <c r="G31" s="256">
        <f t="shared" si="3"/>
        <v>59308</v>
      </c>
      <c r="H31" s="356">
        <f>51000+8308</f>
        <v>59308</v>
      </c>
      <c r="I31" s="356"/>
      <c r="J31" s="434"/>
      <c r="K31" s="355"/>
      <c r="L31" s="355"/>
      <c r="M31" s="356"/>
      <c r="N31" s="379">
        <v>50000</v>
      </c>
      <c r="O31" s="356">
        <v>50000</v>
      </c>
      <c r="P31" s="522" t="s">
        <v>368</v>
      </c>
    </row>
    <row r="32" spans="1:16" ht="93.75" customHeight="1">
      <c r="A32" s="527">
        <v>5</v>
      </c>
      <c r="B32" s="376"/>
      <c r="C32" s="377"/>
      <c r="D32" s="257">
        <v>605</v>
      </c>
      <c r="E32" s="372" t="s">
        <v>827</v>
      </c>
      <c r="F32" s="144">
        <f t="shared" si="5"/>
        <v>156500</v>
      </c>
      <c r="G32" s="256">
        <f t="shared" si="3"/>
        <v>156500</v>
      </c>
      <c r="H32" s="356">
        <f>2!S172+2!T607-49200</f>
        <v>107300</v>
      </c>
      <c r="I32" s="356"/>
      <c r="J32" s="434">
        <v>49200</v>
      </c>
      <c r="K32" s="355"/>
      <c r="L32" s="355"/>
      <c r="M32" s="356"/>
      <c r="N32" s="379"/>
      <c r="O32" s="356"/>
      <c r="P32" s="522" t="s">
        <v>620</v>
      </c>
    </row>
    <row r="33" spans="1:16" ht="72">
      <c r="A33" s="527">
        <v>6</v>
      </c>
      <c r="B33" s="376">
        <v>852</v>
      </c>
      <c r="C33" s="377">
        <v>85214</v>
      </c>
      <c r="D33" s="257">
        <v>605</v>
      </c>
      <c r="E33" s="372" t="s">
        <v>462</v>
      </c>
      <c r="F33" s="144">
        <f t="shared" si="5"/>
        <v>24000</v>
      </c>
      <c r="G33" s="256">
        <f t="shared" si="3"/>
        <v>24000</v>
      </c>
      <c r="H33" s="356">
        <v>24000</v>
      </c>
      <c r="I33" s="356"/>
      <c r="J33" s="434"/>
      <c r="K33" s="355"/>
      <c r="L33" s="355"/>
      <c r="M33" s="356"/>
      <c r="N33" s="379"/>
      <c r="O33" s="356"/>
      <c r="P33" s="522" t="s">
        <v>154</v>
      </c>
    </row>
    <row r="34" spans="1:16" ht="70.5" customHeight="1" hidden="1">
      <c r="A34" s="527">
        <v>10</v>
      </c>
      <c r="B34" s="368">
        <v>758</v>
      </c>
      <c r="C34" s="145">
        <v>75818</v>
      </c>
      <c r="D34" s="254">
        <v>680</v>
      </c>
      <c r="E34" s="371" t="s">
        <v>608</v>
      </c>
      <c r="F34" s="382">
        <f t="shared" si="5"/>
        <v>0</v>
      </c>
      <c r="G34" s="256">
        <f t="shared" si="3"/>
        <v>0</v>
      </c>
      <c r="H34" s="356">
        <f>2!S233</f>
        <v>0</v>
      </c>
      <c r="I34" s="356"/>
      <c r="J34" s="434"/>
      <c r="K34" s="355"/>
      <c r="L34" s="355"/>
      <c r="M34" s="356"/>
      <c r="N34" s="383"/>
      <c r="O34" s="356"/>
      <c r="P34" s="522" t="s">
        <v>368</v>
      </c>
    </row>
    <row r="35" spans="1:16" ht="168.75">
      <c r="A35" s="527">
        <v>7</v>
      </c>
      <c r="B35" s="374" t="s">
        <v>816</v>
      </c>
      <c r="C35" s="565" t="s">
        <v>817</v>
      </c>
      <c r="D35" s="254">
        <v>605</v>
      </c>
      <c r="E35" s="373" t="s">
        <v>460</v>
      </c>
      <c r="F35" s="144">
        <f t="shared" si="5"/>
        <v>5500000</v>
      </c>
      <c r="G35" s="256">
        <f t="shared" si="3"/>
        <v>26000</v>
      </c>
      <c r="H35" s="356">
        <f>110000-84000</f>
        <v>26000</v>
      </c>
      <c r="I35" s="356"/>
      <c r="J35" s="434"/>
      <c r="K35" s="355"/>
      <c r="L35" s="355"/>
      <c r="M35" s="356"/>
      <c r="N35" s="379">
        <f>4950000+330000+110000+84000</f>
        <v>5474000</v>
      </c>
      <c r="O35" s="356"/>
      <c r="P35" s="522" t="s">
        <v>368</v>
      </c>
    </row>
    <row r="36" spans="1:16" ht="45">
      <c r="A36" s="527">
        <v>8</v>
      </c>
      <c r="B36" s="374">
        <v>900</v>
      </c>
      <c r="C36" s="254">
        <v>90019</v>
      </c>
      <c r="D36" s="254">
        <v>605</v>
      </c>
      <c r="E36" s="437" t="s">
        <v>545</v>
      </c>
      <c r="F36" s="382">
        <f t="shared" si="5"/>
        <v>12000</v>
      </c>
      <c r="G36" s="256">
        <f t="shared" si="3"/>
        <v>12000</v>
      </c>
      <c r="H36" s="356"/>
      <c r="I36" s="356">
        <v>12000</v>
      </c>
      <c r="J36" s="434"/>
      <c r="K36" s="355"/>
      <c r="L36" s="355"/>
      <c r="M36" s="356"/>
      <c r="N36" s="383"/>
      <c r="O36" s="356"/>
      <c r="P36" s="522" t="s">
        <v>547</v>
      </c>
    </row>
    <row r="37" spans="1:16" ht="78.75">
      <c r="A37" s="528">
        <v>9</v>
      </c>
      <c r="B37" s="368">
        <v>801</v>
      </c>
      <c r="C37" s="254">
        <v>80130</v>
      </c>
      <c r="D37" s="254">
        <v>605</v>
      </c>
      <c r="E37" s="373" t="s">
        <v>472</v>
      </c>
      <c r="F37" s="144">
        <f t="shared" si="5"/>
        <v>6100000</v>
      </c>
      <c r="G37" s="256">
        <f t="shared" si="3"/>
        <v>0</v>
      </c>
      <c r="H37" s="356"/>
      <c r="I37" s="356"/>
      <c r="J37" s="434"/>
      <c r="K37" s="355"/>
      <c r="L37" s="355"/>
      <c r="M37" s="356"/>
      <c r="N37" s="379">
        <v>122000</v>
      </c>
      <c r="O37" s="356">
        <v>5978000</v>
      </c>
      <c r="P37" s="522" t="s">
        <v>368</v>
      </c>
    </row>
    <row r="38" spans="1:16" ht="112.5">
      <c r="A38" s="528">
        <v>10</v>
      </c>
      <c r="B38" s="368"/>
      <c r="C38" s="254">
        <v>80102</v>
      </c>
      <c r="D38" s="254"/>
      <c r="E38" s="371" t="s">
        <v>804</v>
      </c>
      <c r="F38" s="144">
        <f>11965+G38</f>
        <v>11965</v>
      </c>
      <c r="G38" s="256">
        <f t="shared" si="3"/>
        <v>0</v>
      </c>
      <c r="H38" s="356"/>
      <c r="I38" s="356"/>
      <c r="J38" s="434"/>
      <c r="K38" s="355"/>
      <c r="L38" s="355"/>
      <c r="M38" s="356"/>
      <c r="N38" s="379"/>
      <c r="O38" s="356"/>
      <c r="P38" s="522" t="s">
        <v>368</v>
      </c>
    </row>
    <row r="39" spans="1:16" ht="22.5">
      <c r="A39" s="528">
        <v>11</v>
      </c>
      <c r="B39" s="368">
        <v>853</v>
      </c>
      <c r="C39" s="254">
        <v>85395</v>
      </c>
      <c r="D39" s="254"/>
      <c r="E39" s="373" t="s">
        <v>151</v>
      </c>
      <c r="F39" s="144">
        <f aca="true" t="shared" si="6" ref="F39:F46">G39+N39+O39</f>
        <v>14833</v>
      </c>
      <c r="G39" s="256">
        <f t="shared" si="3"/>
        <v>14833</v>
      </c>
      <c r="H39" s="356"/>
      <c r="I39" s="356"/>
      <c r="J39" s="434"/>
      <c r="K39" s="355"/>
      <c r="L39" s="355"/>
      <c r="M39" s="676">
        <f>4033+10800</f>
        <v>14833</v>
      </c>
      <c r="N39" s="379"/>
      <c r="O39" s="356"/>
      <c r="P39" s="522" t="s">
        <v>368</v>
      </c>
    </row>
    <row r="40" spans="1:16" ht="51">
      <c r="A40" s="528">
        <v>12</v>
      </c>
      <c r="B40" s="368"/>
      <c r="C40" s="215" t="s">
        <v>392</v>
      </c>
      <c r="D40" s="254"/>
      <c r="E40" s="64" t="s">
        <v>552</v>
      </c>
      <c r="F40" s="144">
        <f>G40+N40+O40</f>
        <v>70000</v>
      </c>
      <c r="G40" s="256">
        <f>SUM(H40:M40)</f>
        <v>70000</v>
      </c>
      <c r="H40" s="356"/>
      <c r="I40" s="356"/>
      <c r="J40" s="434"/>
      <c r="K40" s="355"/>
      <c r="L40" s="355">
        <v>70000</v>
      </c>
      <c r="M40" s="356"/>
      <c r="N40" s="379"/>
      <c r="O40" s="356"/>
      <c r="P40" s="522" t="s">
        <v>368</v>
      </c>
    </row>
    <row r="41" spans="1:18" ht="45">
      <c r="A41" s="528">
        <v>13</v>
      </c>
      <c r="B41" s="368">
        <v>851</v>
      </c>
      <c r="C41" s="254">
        <v>85111</v>
      </c>
      <c r="D41" s="254"/>
      <c r="E41" s="373" t="s">
        <v>497</v>
      </c>
      <c r="F41" s="144">
        <f t="shared" si="6"/>
        <v>2990000</v>
      </c>
      <c r="G41" s="256">
        <f t="shared" si="3"/>
        <v>2990000</v>
      </c>
      <c r="H41" s="356"/>
      <c r="I41" s="356"/>
      <c r="J41" s="434">
        <f>120000+662477+87523+70000+15747</f>
        <v>955747</v>
      </c>
      <c r="K41" s="355">
        <f>1500000+1300000-662477-87523-15747</f>
        <v>2034253</v>
      </c>
      <c r="L41" s="355"/>
      <c r="M41" s="356"/>
      <c r="N41" s="379"/>
      <c r="O41" s="356"/>
      <c r="P41" s="522" t="s">
        <v>368</v>
      </c>
      <c r="R41" s="255">
        <v>119200</v>
      </c>
    </row>
    <row r="42" spans="1:18" ht="112.5">
      <c r="A42" s="527">
        <v>14</v>
      </c>
      <c r="B42" s="374">
        <v>900</v>
      </c>
      <c r="C42" s="145">
        <v>90019</v>
      </c>
      <c r="D42" s="254">
        <v>605</v>
      </c>
      <c r="E42" s="621" t="s">
        <v>504</v>
      </c>
      <c r="F42" s="144">
        <f t="shared" si="6"/>
        <v>653822</v>
      </c>
      <c r="G42" s="256">
        <f t="shared" si="3"/>
        <v>45018</v>
      </c>
      <c r="H42" s="74"/>
      <c r="I42" s="74">
        <v>45018</v>
      </c>
      <c r="J42" s="434"/>
      <c r="K42" s="355"/>
      <c r="L42" s="355"/>
      <c r="M42" s="356"/>
      <c r="N42" s="379">
        <f>608724+80</f>
        <v>608804</v>
      </c>
      <c r="O42" s="356"/>
      <c r="P42" s="522" t="s">
        <v>368</v>
      </c>
      <c r="R42" s="255">
        <v>-70000</v>
      </c>
    </row>
    <row r="43" spans="1:16" ht="165.75" customHeight="1" hidden="1">
      <c r="A43" s="527">
        <v>21</v>
      </c>
      <c r="B43" s="374" t="s">
        <v>456</v>
      </c>
      <c r="C43" s="145">
        <v>85201</v>
      </c>
      <c r="D43" s="254">
        <v>605</v>
      </c>
      <c r="E43" s="375" t="s">
        <v>459</v>
      </c>
      <c r="F43" s="144">
        <f t="shared" si="6"/>
        <v>0</v>
      </c>
      <c r="G43" s="256">
        <f t="shared" si="3"/>
        <v>0</v>
      </c>
      <c r="H43" s="356"/>
      <c r="I43" s="356"/>
      <c r="J43" s="434"/>
      <c r="K43" s="355"/>
      <c r="L43" s="355"/>
      <c r="M43" s="356"/>
      <c r="N43" s="379"/>
      <c r="O43" s="356"/>
      <c r="P43" s="522" t="s">
        <v>368</v>
      </c>
    </row>
    <row r="44" spans="1:18" ht="114.75">
      <c r="A44" s="527">
        <v>15</v>
      </c>
      <c r="B44" s="374" t="s">
        <v>809</v>
      </c>
      <c r="C44" s="145" t="s">
        <v>815</v>
      </c>
      <c r="D44" s="254">
        <v>605</v>
      </c>
      <c r="E44" s="64" t="s">
        <v>654</v>
      </c>
      <c r="F44" s="382">
        <f>G44+N44+O44+44800</f>
        <v>3204114</v>
      </c>
      <c r="G44" s="256">
        <f t="shared" si="3"/>
        <v>3159314</v>
      </c>
      <c r="H44" s="356">
        <f>589400-44800-100000+141400</f>
        <v>586000</v>
      </c>
      <c r="I44" s="356">
        <f>485700+91000</f>
        <v>576700</v>
      </c>
      <c r="J44" s="434"/>
      <c r="K44" s="355"/>
      <c r="L44" s="355"/>
      <c r="M44" s="676">
        <v>1996614</v>
      </c>
      <c r="N44" s="383"/>
      <c r="O44" s="356"/>
      <c r="P44" s="522" t="s">
        <v>496</v>
      </c>
      <c r="R44" s="255">
        <f>SUM(R41:R43)</f>
        <v>49200</v>
      </c>
    </row>
    <row r="45" spans="1:18" ht="51">
      <c r="A45" s="527">
        <v>16</v>
      </c>
      <c r="B45" s="374">
        <v>852</v>
      </c>
      <c r="C45" s="145">
        <v>85202</v>
      </c>
      <c r="D45" s="254">
        <v>605</v>
      </c>
      <c r="E45" s="64" t="s">
        <v>537</v>
      </c>
      <c r="F45" s="382">
        <f>G45+N45+O45</f>
        <v>50000</v>
      </c>
      <c r="G45" s="256">
        <f>SUM(H45:M45)</f>
        <v>50000</v>
      </c>
      <c r="H45" s="356">
        <v>50000</v>
      </c>
      <c r="I45" s="356"/>
      <c r="J45" s="434"/>
      <c r="K45" s="355"/>
      <c r="L45" s="355"/>
      <c r="M45" s="676"/>
      <c r="N45" s="383"/>
      <c r="O45" s="356"/>
      <c r="P45" s="522" t="s">
        <v>496</v>
      </c>
      <c r="R45" s="255">
        <f>SUM(R42:R44)</f>
        <v>-20800</v>
      </c>
    </row>
    <row r="46" spans="1:16" ht="50.25" customHeight="1">
      <c r="A46" s="265">
        <v>17</v>
      </c>
      <c r="B46" s="524">
        <v>900</v>
      </c>
      <c r="C46" s="432">
        <v>90019</v>
      </c>
      <c r="D46" s="254">
        <v>605</v>
      </c>
      <c r="E46" s="437" t="s">
        <v>546</v>
      </c>
      <c r="F46" s="144">
        <f t="shared" si="6"/>
        <v>460000</v>
      </c>
      <c r="G46" s="256">
        <f t="shared" si="3"/>
        <v>460000</v>
      </c>
      <c r="H46" s="356"/>
      <c r="I46" s="356">
        <v>460000</v>
      </c>
      <c r="J46" s="434"/>
      <c r="K46" s="355"/>
      <c r="L46" s="355"/>
      <c r="M46" s="356"/>
      <c r="N46" s="379"/>
      <c r="O46" s="356"/>
      <c r="P46" s="522" t="s">
        <v>368</v>
      </c>
    </row>
    <row r="47" spans="1:16" ht="25.5">
      <c r="A47" s="265">
        <v>18</v>
      </c>
      <c r="B47" s="524">
        <v>900</v>
      </c>
      <c r="C47" s="432">
        <v>90019</v>
      </c>
      <c r="D47" s="254">
        <v>617</v>
      </c>
      <c r="E47" s="378" t="s">
        <v>35</v>
      </c>
      <c r="F47" s="144">
        <f aca="true" t="shared" si="7" ref="F47:F52">G47+N47+O47</f>
        <v>50000</v>
      </c>
      <c r="G47" s="256">
        <f>SUM(H47:M47)</f>
        <v>50000</v>
      </c>
      <c r="H47" s="356"/>
      <c r="I47" s="356">
        <v>50000</v>
      </c>
      <c r="J47" s="434"/>
      <c r="K47" s="355"/>
      <c r="L47" s="355"/>
      <c r="M47" s="356"/>
      <c r="N47" s="379"/>
      <c r="O47" s="356"/>
      <c r="P47" s="522" t="s">
        <v>368</v>
      </c>
    </row>
    <row r="48" spans="1:16" ht="132">
      <c r="A48" s="265">
        <v>19</v>
      </c>
      <c r="B48" s="524">
        <v>900</v>
      </c>
      <c r="C48" s="432">
        <v>90019</v>
      </c>
      <c r="D48" s="254">
        <v>662</v>
      </c>
      <c r="E48" s="619" t="s">
        <v>384</v>
      </c>
      <c r="F48" s="144">
        <f t="shared" si="7"/>
        <v>50000</v>
      </c>
      <c r="G48" s="256">
        <f>SUM(H48:M48)</f>
        <v>50000</v>
      </c>
      <c r="H48" s="356"/>
      <c r="I48" s="356">
        <v>50000</v>
      </c>
      <c r="J48" s="434"/>
      <c r="K48" s="355"/>
      <c r="L48" s="355"/>
      <c r="M48" s="356"/>
      <c r="N48" s="379"/>
      <c r="O48" s="356"/>
      <c r="P48" s="522" t="s">
        <v>368</v>
      </c>
    </row>
    <row r="49" spans="1:16" ht="38.25">
      <c r="A49" s="265">
        <v>20</v>
      </c>
      <c r="B49" s="524">
        <v>852</v>
      </c>
      <c r="C49" s="432">
        <v>85202</v>
      </c>
      <c r="D49" s="254">
        <v>605</v>
      </c>
      <c r="E49" s="378" t="s">
        <v>560</v>
      </c>
      <c r="F49" s="144">
        <f t="shared" si="7"/>
        <v>330000</v>
      </c>
      <c r="G49" s="256">
        <f>SUM(H49:M49)</f>
        <v>0</v>
      </c>
      <c r="H49" s="356"/>
      <c r="I49" s="356"/>
      <c r="J49" s="434"/>
      <c r="K49" s="355"/>
      <c r="L49" s="355"/>
      <c r="M49" s="356"/>
      <c r="N49" s="680">
        <v>330000</v>
      </c>
      <c r="O49" s="356"/>
      <c r="P49" s="522" t="s">
        <v>550</v>
      </c>
    </row>
    <row r="50" spans="1:16" ht="63.75">
      <c r="A50" s="265">
        <v>21</v>
      </c>
      <c r="B50" s="524">
        <v>900</v>
      </c>
      <c r="C50" s="432">
        <v>90019</v>
      </c>
      <c r="D50" s="565" t="s">
        <v>555</v>
      </c>
      <c r="E50" s="378" t="s">
        <v>554</v>
      </c>
      <c r="F50" s="144">
        <f t="shared" si="7"/>
        <v>17200</v>
      </c>
      <c r="G50" s="256">
        <f>SUM(H50:M50)</f>
        <v>17200</v>
      </c>
      <c r="H50" s="356"/>
      <c r="I50" s="356">
        <f>10000+7200</f>
        <v>17200</v>
      </c>
      <c r="J50" s="434"/>
      <c r="K50" s="355"/>
      <c r="L50" s="355"/>
      <c r="M50" s="356"/>
      <c r="N50" s="379"/>
      <c r="O50" s="356"/>
      <c r="P50" s="522" t="s">
        <v>368</v>
      </c>
    </row>
    <row r="51" spans="1:16" ht="63.75">
      <c r="A51" s="265">
        <v>22</v>
      </c>
      <c r="B51" s="524">
        <v>900</v>
      </c>
      <c r="C51" s="432">
        <v>90019</v>
      </c>
      <c r="D51" s="254">
        <v>605</v>
      </c>
      <c r="E51" s="378" t="s">
        <v>136</v>
      </c>
      <c r="F51" s="144">
        <f t="shared" si="7"/>
        <v>137000</v>
      </c>
      <c r="G51" s="256">
        <f t="shared" si="3"/>
        <v>137000</v>
      </c>
      <c r="H51" s="356"/>
      <c r="I51" s="356">
        <v>137000</v>
      </c>
      <c r="J51" s="434"/>
      <c r="K51" s="355"/>
      <c r="L51" s="355"/>
      <c r="M51" s="356"/>
      <c r="N51" s="379"/>
      <c r="O51" s="356"/>
      <c r="P51" s="522" t="s">
        <v>368</v>
      </c>
    </row>
    <row r="52" spans="1:16" ht="90">
      <c r="A52" s="265"/>
      <c r="B52" s="525" t="s">
        <v>556</v>
      </c>
      <c r="C52" s="524" t="s">
        <v>557</v>
      </c>
      <c r="D52" s="215">
        <v>605</v>
      </c>
      <c r="E52" s="700" t="s">
        <v>561</v>
      </c>
      <c r="F52" s="382">
        <f t="shared" si="7"/>
        <v>938100</v>
      </c>
      <c r="G52" s="256">
        <f t="shared" si="3"/>
        <v>11200</v>
      </c>
      <c r="H52" s="356">
        <v>11200</v>
      </c>
      <c r="I52" s="356"/>
      <c r="J52" s="434"/>
      <c r="K52" s="355"/>
      <c r="L52" s="355"/>
      <c r="M52" s="356"/>
      <c r="N52" s="383">
        <f>838050+88850</f>
        <v>926900</v>
      </c>
      <c r="O52" s="356"/>
      <c r="P52" s="522" t="s">
        <v>558</v>
      </c>
    </row>
    <row r="53" spans="1:16" ht="22.5" customHeight="1">
      <c r="A53" s="265"/>
      <c r="B53" s="755" t="s">
        <v>618</v>
      </c>
      <c r="C53" s="756"/>
      <c r="D53" s="756"/>
      <c r="E53" s="756"/>
      <c r="F53" s="356">
        <f aca="true" t="shared" si="8" ref="F53:O53">SUM(F11:F52)-F24</f>
        <v>77000999</v>
      </c>
      <c r="G53" s="108">
        <f t="shared" si="8"/>
        <v>14463787</v>
      </c>
      <c r="H53" s="356">
        <f t="shared" si="8"/>
        <v>5377934</v>
      </c>
      <c r="I53" s="356">
        <f t="shared" si="8"/>
        <v>1347918</v>
      </c>
      <c r="J53" s="356">
        <f t="shared" si="8"/>
        <v>3600000</v>
      </c>
      <c r="K53" s="356">
        <f t="shared" si="8"/>
        <v>2056488</v>
      </c>
      <c r="L53" s="356">
        <f t="shared" si="8"/>
        <v>70000</v>
      </c>
      <c r="M53" s="356">
        <f t="shared" si="8"/>
        <v>2011447</v>
      </c>
      <c r="N53" s="356">
        <f t="shared" si="8"/>
        <v>32684989</v>
      </c>
      <c r="O53" s="356">
        <f t="shared" si="8"/>
        <v>29271536</v>
      </c>
      <c r="P53" s="523" t="s">
        <v>710</v>
      </c>
    </row>
    <row r="54" spans="1:16" ht="42.75" customHeight="1">
      <c r="A54" s="748" t="s">
        <v>158</v>
      </c>
      <c r="B54" s="749"/>
      <c r="C54" s="749"/>
      <c r="D54" s="749"/>
      <c r="E54" s="750"/>
      <c r="F54" s="254"/>
      <c r="G54" s="108">
        <f>G53-L53</f>
        <v>14393787</v>
      </c>
      <c r="H54" s="254"/>
      <c r="I54" s="254"/>
      <c r="J54" s="435"/>
      <c r="K54" s="254"/>
      <c r="L54" s="254"/>
      <c r="M54" s="254"/>
      <c r="N54" s="364"/>
      <c r="O54" s="254"/>
      <c r="P54" s="364"/>
    </row>
    <row r="57" spans="13:15" ht="12.75">
      <c r="M57" s="684"/>
      <c r="O57" s="685" t="s">
        <v>511</v>
      </c>
    </row>
    <row r="58" spans="8:9" ht="12.75">
      <c r="H58" s="354"/>
      <c r="I58" s="354"/>
    </row>
    <row r="59" spans="8:9" ht="12.75">
      <c r="H59" s="354"/>
      <c r="I59" s="354"/>
    </row>
    <row r="60" spans="8:9" ht="12.75">
      <c r="H60" s="354"/>
      <c r="I60" s="354"/>
    </row>
    <row r="61" ht="12.75">
      <c r="M61" s="354"/>
    </row>
  </sheetData>
  <sheetProtection/>
  <mergeCells count="21">
    <mergeCell ref="H5:H7"/>
    <mergeCell ref="P3:P7"/>
    <mergeCell ref="N4:N7"/>
    <mergeCell ref="A54:E54"/>
    <mergeCell ref="A3:A7"/>
    <mergeCell ref="J5:J7"/>
    <mergeCell ref="L5:L7"/>
    <mergeCell ref="B53:E53"/>
    <mergeCell ref="D3:D7"/>
    <mergeCell ref="H4:M4"/>
    <mergeCell ref="K5:K7"/>
    <mergeCell ref="F3:F7"/>
    <mergeCell ref="G4:G7"/>
    <mergeCell ref="B1:P1"/>
    <mergeCell ref="B3:B7"/>
    <mergeCell ref="C3:C7"/>
    <mergeCell ref="E3:E7"/>
    <mergeCell ref="G3:O3"/>
    <mergeCell ref="I5:I7"/>
    <mergeCell ref="O4:O7"/>
    <mergeCell ref="M5:M7"/>
  </mergeCells>
  <printOptions horizontalCentered="1"/>
  <pageMargins left="0.5118110236220472" right="0.3937007874015748" top="1.3779527559055118" bottom="0.7874015748031497" header="0.5118110236220472" footer="0.5118110236220472"/>
  <pageSetup horizontalDpi="600" verticalDpi="600" orientation="landscape" paperSize="9" scale="80" r:id="rId1"/>
  <headerFooter alignWithMargins="0">
    <oddHeader>&amp;R&amp;9Załącznik nr 3
do uchwały Rady Powiatu 
nr XXXIV/210/10
z dnia 15.10.2010 r.</oddHeader>
  </headerFooter>
</worksheet>
</file>

<file path=xl/worksheets/sheet4.xml><?xml version="1.0" encoding="utf-8"?>
<worksheet xmlns="http://schemas.openxmlformats.org/spreadsheetml/2006/main" xmlns:r="http://schemas.openxmlformats.org/officeDocument/2006/relationships">
  <dimension ref="A1:O48"/>
  <sheetViews>
    <sheetView zoomScalePageLayoutView="0" workbookViewId="0" topLeftCell="A17">
      <selection activeCell="G26" sqref="G26"/>
    </sheetView>
  </sheetViews>
  <sheetFormatPr defaultColWidth="9.00390625" defaultRowHeight="12.75"/>
  <cols>
    <col min="1" max="1" width="7.625" style="255" bestFit="1" customWidth="1"/>
    <col min="2" max="2" width="6.875" style="255" customWidth="1"/>
    <col min="3" max="3" width="7.75390625" style="255" customWidth="1"/>
    <col min="4" max="4" width="6.25390625" style="224" customWidth="1"/>
    <col min="5" max="5" width="24.375" style="255" customWidth="1"/>
    <col min="6" max="6" width="11.00390625" style="354" customWidth="1"/>
    <col min="7" max="7" width="12.75390625" style="354" customWidth="1"/>
    <col min="8" max="9" width="10.125" style="354" customWidth="1"/>
    <col min="10" max="10" width="11.25390625" style="354" bestFit="1" customWidth="1"/>
    <col min="11" max="11" width="13.125" style="354" customWidth="1"/>
    <col min="12" max="12" width="11.125" style="354" customWidth="1"/>
    <col min="13" max="13" width="16.875" style="255" customWidth="1"/>
    <col min="14" max="14" width="9.125" style="255" customWidth="1"/>
    <col min="15" max="15" width="10.125" style="255" bestFit="1" customWidth="1"/>
    <col min="16" max="16384" width="9.125" style="255" customWidth="1"/>
  </cols>
  <sheetData>
    <row r="1" spans="3:13" ht="18">
      <c r="C1" s="12"/>
      <c r="D1" s="222"/>
      <c r="E1" s="12"/>
      <c r="F1" s="217" t="s">
        <v>157</v>
      </c>
      <c r="G1" s="12"/>
      <c r="H1" s="12"/>
      <c r="I1" s="12"/>
      <c r="J1" s="12"/>
      <c r="K1" s="12"/>
      <c r="L1" s="12"/>
      <c r="M1" s="12"/>
    </row>
    <row r="2" spans="2:13" ht="10.5" customHeight="1">
      <c r="B2" s="12"/>
      <c r="C2" s="12"/>
      <c r="D2" s="222"/>
      <c r="E2" s="12"/>
      <c r="F2" s="88"/>
      <c r="G2" s="88"/>
      <c r="H2" s="88"/>
      <c r="I2" s="88"/>
      <c r="J2" s="88"/>
      <c r="K2" s="88"/>
      <c r="L2" s="88"/>
      <c r="M2" s="8" t="s">
        <v>704</v>
      </c>
    </row>
    <row r="3" spans="1:13" s="35" customFormat="1" ht="12.75">
      <c r="A3" s="761" t="s">
        <v>619</v>
      </c>
      <c r="B3" s="764" t="s">
        <v>665</v>
      </c>
      <c r="C3" s="757" t="s">
        <v>703</v>
      </c>
      <c r="D3" s="759" t="s">
        <v>790</v>
      </c>
      <c r="E3" s="743" t="s">
        <v>37</v>
      </c>
      <c r="F3" s="758" t="s">
        <v>604</v>
      </c>
      <c r="G3" s="758" t="s">
        <v>156</v>
      </c>
      <c r="H3" s="758"/>
      <c r="I3" s="758"/>
      <c r="J3" s="758"/>
      <c r="K3" s="758"/>
      <c r="L3" s="758"/>
      <c r="M3" s="743" t="s">
        <v>791</v>
      </c>
    </row>
    <row r="4" spans="1:13" s="35" customFormat="1" ht="12.75">
      <c r="A4" s="762"/>
      <c r="B4" s="764"/>
      <c r="C4" s="757"/>
      <c r="D4" s="759"/>
      <c r="E4" s="743"/>
      <c r="F4" s="758"/>
      <c r="G4" s="758" t="s">
        <v>155</v>
      </c>
      <c r="H4" s="758" t="s">
        <v>83</v>
      </c>
      <c r="I4" s="758"/>
      <c r="J4" s="758"/>
      <c r="K4" s="758"/>
      <c r="L4" s="758"/>
      <c r="M4" s="743"/>
    </row>
    <row r="5" spans="1:13" s="35" customFormat="1" ht="12.75" customHeight="1">
      <c r="A5" s="762"/>
      <c r="B5" s="764"/>
      <c r="C5" s="757"/>
      <c r="D5" s="759"/>
      <c r="E5" s="743"/>
      <c r="F5" s="758"/>
      <c r="G5" s="758"/>
      <c r="H5" s="758" t="s">
        <v>792</v>
      </c>
      <c r="I5" s="758" t="str">
        <f>3!I5:I7</f>
        <v>dochody  jst  z  tyt.opłat  i  kar  za  zanieczyszczanie  środowiska</v>
      </c>
      <c r="J5" s="743" t="str">
        <f>3!J5:J7</f>
        <v>obligacje
i pożyczki</v>
      </c>
      <c r="K5" s="758" t="s">
        <v>539</v>
      </c>
      <c r="L5" s="760" t="str">
        <f>3!M5:M7</f>
        <v>środki  UE  lub  kredyty planowane   pod  współfinansowanie  z UE ,  kredyty</v>
      </c>
      <c r="M5" s="743"/>
    </row>
    <row r="6" spans="1:13" s="35" customFormat="1" ht="12.75">
      <c r="A6" s="762"/>
      <c r="B6" s="764"/>
      <c r="C6" s="757"/>
      <c r="D6" s="759"/>
      <c r="E6" s="743"/>
      <c r="F6" s="758"/>
      <c r="G6" s="758"/>
      <c r="H6" s="758"/>
      <c r="I6" s="758"/>
      <c r="J6" s="743"/>
      <c r="K6" s="758"/>
      <c r="L6" s="760"/>
      <c r="M6" s="743"/>
    </row>
    <row r="7" spans="1:13" s="35" customFormat="1" ht="91.5" customHeight="1">
      <c r="A7" s="763"/>
      <c r="B7" s="764"/>
      <c r="C7" s="757"/>
      <c r="D7" s="759"/>
      <c r="E7" s="743"/>
      <c r="F7" s="758"/>
      <c r="G7" s="758"/>
      <c r="H7" s="758"/>
      <c r="I7" s="758"/>
      <c r="J7" s="743"/>
      <c r="K7" s="758"/>
      <c r="L7" s="760"/>
      <c r="M7" s="743"/>
    </row>
    <row r="8" spans="1:13" ht="12.75">
      <c r="A8" s="232">
        <v>1</v>
      </c>
      <c r="B8" s="229">
        <v>2</v>
      </c>
      <c r="C8" s="16">
        <v>3</v>
      </c>
      <c r="D8" s="16">
        <v>4</v>
      </c>
      <c r="E8" s="16">
        <v>5</v>
      </c>
      <c r="F8" s="86">
        <v>6</v>
      </c>
      <c r="G8" s="213">
        <v>7</v>
      </c>
      <c r="H8" s="86">
        <v>8</v>
      </c>
      <c r="I8" s="86"/>
      <c r="J8" s="86">
        <v>9</v>
      </c>
      <c r="K8" s="86">
        <v>10</v>
      </c>
      <c r="L8" s="86">
        <v>11</v>
      </c>
      <c r="M8" s="16">
        <v>12</v>
      </c>
    </row>
    <row r="9" spans="1:13" ht="101.25">
      <c r="A9" s="254">
        <v>1</v>
      </c>
      <c r="B9" s="230">
        <v>600</v>
      </c>
      <c r="C9" s="254">
        <v>60014</v>
      </c>
      <c r="D9" s="215">
        <v>605</v>
      </c>
      <c r="E9" s="365" t="s">
        <v>614</v>
      </c>
      <c r="F9" s="228">
        <f aca="true" t="shared" si="0" ref="F9:L9">SUM(F11:F19)</f>
        <v>9944393</v>
      </c>
      <c r="G9" s="228">
        <f t="shared" si="0"/>
        <v>5899317</v>
      </c>
      <c r="H9" s="228">
        <f t="shared" si="0"/>
        <v>3304264</v>
      </c>
      <c r="I9" s="228">
        <f t="shared" si="0"/>
        <v>0</v>
      </c>
      <c r="J9" s="228">
        <f t="shared" si="0"/>
        <v>2595053</v>
      </c>
      <c r="K9" s="228">
        <f t="shared" si="0"/>
        <v>0</v>
      </c>
      <c r="L9" s="228">
        <f t="shared" si="0"/>
        <v>0</v>
      </c>
      <c r="M9" s="366" t="s">
        <v>607</v>
      </c>
    </row>
    <row r="10" spans="1:13" ht="12.75">
      <c r="A10" s="254"/>
      <c r="B10" s="229"/>
      <c r="C10" s="16"/>
      <c r="D10" s="16"/>
      <c r="E10" s="64" t="s">
        <v>613</v>
      </c>
      <c r="F10" s="86"/>
      <c r="G10" s="213"/>
      <c r="H10" s="86"/>
      <c r="I10" s="86"/>
      <c r="J10" s="86"/>
      <c r="K10" s="86"/>
      <c r="L10" s="86"/>
      <c r="M10" s="16"/>
    </row>
    <row r="11" spans="1:13" ht="72">
      <c r="A11" s="265"/>
      <c r="B11" s="230"/>
      <c r="C11" s="254"/>
      <c r="D11" s="215"/>
      <c r="E11" s="89" t="str">
        <f>3!E11</f>
        <v>Przebudowa   drogi  powiatowej  nr  2037C  Dobrzejewice-Świętosław-Mazowsze  w km 0+000 : 7+432 oraz   10+982 :11+551 na łączną  dł.8,001 km</v>
      </c>
      <c r="F11" s="144">
        <f aca="true" t="shared" si="1" ref="F11:F19">G11</f>
        <v>2696547</v>
      </c>
      <c r="G11" s="213">
        <f aca="true" t="shared" si="2" ref="G11:G30">SUM(H11:L11)</f>
        <v>2696547</v>
      </c>
      <c r="H11" s="86">
        <f>3!H11</f>
        <v>1644894</v>
      </c>
      <c r="I11" s="86"/>
      <c r="J11" s="86">
        <f>3!J11</f>
        <v>1051653</v>
      </c>
      <c r="K11" s="86"/>
      <c r="L11" s="86"/>
      <c r="M11" s="257" t="s">
        <v>606</v>
      </c>
    </row>
    <row r="12" spans="1:13" ht="36">
      <c r="A12" s="265"/>
      <c r="B12" s="230"/>
      <c r="C12" s="254"/>
      <c r="D12" s="215"/>
      <c r="E12" s="89" t="str">
        <f>3!E15</f>
        <v>Droga 2031 Zelgno- Bezdół -Zelgno od km 2+360 do km 2+860 na dł.0,500 km</v>
      </c>
      <c r="F12" s="144">
        <f t="shared" si="1"/>
        <v>276780</v>
      </c>
      <c r="G12" s="213">
        <f t="shared" si="2"/>
        <v>276780</v>
      </c>
      <c r="H12" s="86">
        <f>3!H15</f>
        <v>30445</v>
      </c>
      <c r="I12" s="86"/>
      <c r="J12" s="86">
        <f>3!J15</f>
        <v>246335</v>
      </c>
      <c r="K12" s="86"/>
      <c r="L12" s="86"/>
      <c r="M12" s="257"/>
    </row>
    <row r="13" spans="1:13" ht="90.75" customHeight="1">
      <c r="A13" s="265"/>
      <c r="B13" s="230"/>
      <c r="C13" s="254"/>
      <c r="D13" s="215"/>
      <c r="E13" s="89" t="str">
        <f>3!E13</f>
        <v>Przebudowa   drogi  powiatowej  nr 2009 Brzeźno -Młyniec Lubicz Górny  w km 0+000 : 3+450  na łączną  dł.3,45 km</v>
      </c>
      <c r="F13" s="144">
        <f>G13</f>
        <v>0</v>
      </c>
      <c r="G13" s="213">
        <f>SUM(H13:L13)</f>
        <v>0</v>
      </c>
      <c r="H13" s="86"/>
      <c r="I13" s="86"/>
      <c r="J13" s="86"/>
      <c r="K13" s="86"/>
      <c r="L13" s="86"/>
      <c r="M13" s="257"/>
    </row>
    <row r="14" spans="1:13" ht="92.25" customHeight="1">
      <c r="A14" s="265"/>
      <c r="B14" s="230"/>
      <c r="C14" s="254"/>
      <c r="D14" s="215"/>
      <c r="E14" s="89" t="str">
        <f>3!E14</f>
        <v>Przebudowa   drogi  powiatowej  nr 2004 Łążyn -Zarośla  Cienkie -Smolno   w km 0+000 : 7+756  na łączną  dł.7,756 km</v>
      </c>
      <c r="F14" s="144">
        <f>G14</f>
        <v>0</v>
      </c>
      <c r="G14" s="213">
        <f>SUM(H14:L14)</f>
        <v>0</v>
      </c>
      <c r="H14" s="86"/>
      <c r="I14" s="86"/>
      <c r="J14" s="86"/>
      <c r="K14" s="86"/>
      <c r="L14" s="86"/>
      <c r="M14" s="257"/>
    </row>
    <row r="15" spans="1:13" ht="48">
      <c r="A15" s="265"/>
      <c r="B15" s="367"/>
      <c r="C15" s="254"/>
      <c r="D15" s="215"/>
      <c r="E15" s="89" t="str">
        <f>3!E12</f>
        <v>Droga 2004 Łążyn-Zarośla  Cienkie -Smolno od km 0+550 do km 1+135 na dł. 0,585 km</v>
      </c>
      <c r="F15" s="144">
        <f t="shared" si="1"/>
        <v>258587</v>
      </c>
      <c r="G15" s="213">
        <f t="shared" si="2"/>
        <v>258587</v>
      </c>
      <c r="H15" s="16">
        <f>3!H12</f>
        <v>28445</v>
      </c>
      <c r="I15" s="16"/>
      <c r="J15" s="16">
        <f>3!J12</f>
        <v>230142</v>
      </c>
      <c r="K15" s="86" t="s">
        <v>687</v>
      </c>
      <c r="L15" s="86"/>
      <c r="M15" s="214" t="s">
        <v>606</v>
      </c>
    </row>
    <row r="16" spans="1:13" ht="108">
      <c r="A16" s="265"/>
      <c r="B16" s="367"/>
      <c r="C16" s="254"/>
      <c r="D16" s="215"/>
      <c r="E16" s="89" t="str">
        <f>3!E16</f>
        <v>Przebudowa ciągu  komunikacyjnego Drogi powiatowej  nr  2009C Brzeźno-Młyniec-Lubicz Górny w km 3+450 : 9+590 oraz  drogi  powiatowej  nr  2035C  Młyniec I-Jedwabno-  Toruń  w km 0+000 : 0+703 na  łączną długość  6,843 km.</v>
      </c>
      <c r="F16" s="144">
        <f t="shared" si="1"/>
        <v>2511339</v>
      </c>
      <c r="G16" s="233">
        <f t="shared" si="2"/>
        <v>2511339</v>
      </c>
      <c r="H16" s="16">
        <f>3!H16</f>
        <v>1531916</v>
      </c>
      <c r="I16" s="16"/>
      <c r="J16" s="16">
        <f>3!J16</f>
        <v>979423</v>
      </c>
      <c r="K16" s="86"/>
      <c r="L16" s="86"/>
      <c r="M16" s="214"/>
    </row>
    <row r="17" spans="1:13" ht="75">
      <c r="A17" s="265"/>
      <c r="B17" s="367"/>
      <c r="C17" s="254"/>
      <c r="D17" s="215"/>
      <c r="E17" s="620" t="str">
        <f>3!E20</f>
        <v>Przebudowa  drogi powiatowej nr 1619 C Lisewo-Dubielno-Chełmża w km  8+980  do  14+955  na  dł. 5,975 km </v>
      </c>
      <c r="F17" s="144">
        <f>3!F20</f>
        <v>4113640</v>
      </c>
      <c r="G17" s="233">
        <f t="shared" si="2"/>
        <v>68564</v>
      </c>
      <c r="H17" s="86">
        <f>3!H20</f>
        <v>68564</v>
      </c>
      <c r="I17" s="16"/>
      <c r="J17" s="16"/>
      <c r="K17" s="86"/>
      <c r="L17" s="86"/>
      <c r="M17" s="214"/>
    </row>
    <row r="18" spans="1:13" ht="78.75">
      <c r="A18" s="265"/>
      <c r="B18" s="367"/>
      <c r="C18" s="254"/>
      <c r="D18" s="215">
        <f>3!D22</f>
        <v>661</v>
      </c>
      <c r="E18" s="365" t="str">
        <f>3!E21</f>
        <v>„  Budowa  dróg  gminnych Nr 101117C,101121 i 101116C  w  miejscowości  Czernikowo ,  Jackowo ,  Steklinek wraz  z  przebudową skrzyżowania  z  drogą  powiatową  nr  2043C   w  miejscowości  Steklinek  „.</v>
      </c>
      <c r="F18" s="144">
        <f t="shared" si="1"/>
        <v>10000</v>
      </c>
      <c r="G18" s="233">
        <f t="shared" si="2"/>
        <v>10000</v>
      </c>
      <c r="H18" s="86">
        <f>3!H21</f>
        <v>0</v>
      </c>
      <c r="I18" s="86"/>
      <c r="J18" s="86">
        <f>3!J21</f>
        <v>10000</v>
      </c>
      <c r="K18" s="86"/>
      <c r="L18" s="86"/>
      <c r="M18" s="214"/>
    </row>
    <row r="19" spans="1:13" ht="99">
      <c r="A19" s="265"/>
      <c r="B19" s="367"/>
      <c r="C19" s="254"/>
      <c r="D19" s="215">
        <f>3!D22</f>
        <v>661</v>
      </c>
      <c r="E19" s="568" t="str">
        <f>3!E22</f>
        <v>Rozwiązanie  poważnych  problemów  komunikacyjnych w  północno-wschodniej  części  sieci  dróg  gminy  Łubianka   poprzez  budowę  dróg   gminnych  nr  100400C  w  miejscowości  Warszewice   i  w  miejscowości  Brąchnówko wraz  z  budową  skrzyżowania z  ruchem  okrężnym   u  zbiegu   dróg  : powiatowej   nr  2016  Łubianka –Kończewice  (  ul.  Ks. S.  Frelichowskiego  ) ,  gminnych  nr   100399C (  ul. Ks.  Ins.  Groszkowskiego )   i  100400C  (  ul.  Zawiszy  Czarnego  )   w  miejscowości  Warszewice  </v>
      </c>
      <c r="F19" s="144">
        <f t="shared" si="1"/>
        <v>77500</v>
      </c>
      <c r="G19" s="233">
        <f t="shared" si="2"/>
        <v>77500</v>
      </c>
      <c r="H19" s="86">
        <f>3!H22</f>
        <v>0</v>
      </c>
      <c r="I19" s="86"/>
      <c r="J19" s="86">
        <f>3!J22</f>
        <v>77500</v>
      </c>
      <c r="K19" s="86"/>
      <c r="L19" s="86"/>
      <c r="M19" s="214"/>
    </row>
    <row r="20" spans="1:13" ht="48">
      <c r="A20" s="265">
        <v>2</v>
      </c>
      <c r="B20" s="526" t="s">
        <v>811</v>
      </c>
      <c r="C20" s="565" t="s">
        <v>812</v>
      </c>
      <c r="D20" s="215">
        <v>605</v>
      </c>
      <c r="E20" s="89" t="str">
        <f>3!E24</f>
        <v>Poprawa  bezpieczeństwa  na   drogach   publicznych  poprzez wybudowanie   dróg  rowerowych .</v>
      </c>
      <c r="F20" s="144">
        <f>F21+F22+F23</f>
        <v>40190164</v>
      </c>
      <c r="G20" s="233">
        <f t="shared" si="2"/>
        <v>1107497</v>
      </c>
      <c r="H20" s="86">
        <f>SUM(H21:H23)</f>
        <v>1107497</v>
      </c>
      <c r="I20" s="86">
        <f>SUM(I21:I23)</f>
        <v>0</v>
      </c>
      <c r="J20" s="86">
        <f>SUM(J21:J23)</f>
        <v>0</v>
      </c>
      <c r="K20" s="86">
        <f>SUM(K21:K23)</f>
        <v>0</v>
      </c>
      <c r="L20" s="86">
        <f>SUM(L21:L23)</f>
        <v>0</v>
      </c>
      <c r="M20" s="22" t="s">
        <v>606</v>
      </c>
    </row>
    <row r="21" spans="1:13" ht="24">
      <c r="A21" s="265"/>
      <c r="B21" s="367"/>
      <c r="C21" s="254"/>
      <c r="D21" s="215"/>
      <c r="E21" s="89" t="str">
        <f>3!E25</f>
        <v>droga rowerowa: Toruń - Złotoria - Osiek</v>
      </c>
      <c r="F21" s="144">
        <f>373766+G21+3!N25+3!O25</f>
        <v>8348049</v>
      </c>
      <c r="G21" s="233">
        <f>SUM(H21:L21)</f>
        <v>58031</v>
      </c>
      <c r="H21" s="86">
        <f>3!H25</f>
        <v>58031</v>
      </c>
      <c r="I21" s="86">
        <f>3!I25</f>
        <v>0</v>
      </c>
      <c r="J21" s="16"/>
      <c r="K21" s="86">
        <f>3!L25</f>
        <v>0</v>
      </c>
      <c r="L21" s="86">
        <f>3!M25</f>
        <v>0</v>
      </c>
      <c r="M21" s="22" t="s">
        <v>606</v>
      </c>
    </row>
    <row r="22" spans="1:13" ht="36">
      <c r="A22" s="265"/>
      <c r="B22" s="367"/>
      <c r="C22" s="254"/>
      <c r="D22" s="215"/>
      <c r="E22" s="89" t="str">
        <f>3!E26</f>
        <v>droga rowerowa: Toruń - Chełmża z odgałęzieniem do  m. Kamionki Małe</v>
      </c>
      <c r="F22" s="144">
        <f>74042+G22+3!N26+3!O26</f>
        <v>23666518</v>
      </c>
      <c r="G22" s="233">
        <f>SUM(H22:L22)</f>
        <v>724852</v>
      </c>
      <c r="H22" s="86">
        <f>3!H26</f>
        <v>724852</v>
      </c>
      <c r="I22" s="86"/>
      <c r="J22" s="16"/>
      <c r="K22" s="86"/>
      <c r="L22" s="86"/>
      <c r="M22" s="22" t="s">
        <v>606</v>
      </c>
    </row>
    <row r="23" spans="1:13" ht="22.5">
      <c r="A23" s="265"/>
      <c r="B23" s="367"/>
      <c r="C23" s="254"/>
      <c r="D23" s="215"/>
      <c r="E23" s="365" t="str">
        <f>3!E27</f>
        <v>droga rowerowa: Toruń - Barbarka - Wybcz - Unisław</v>
      </c>
      <c r="F23" s="144">
        <f>33892+G23+3!N27+3!O27</f>
        <v>8175597</v>
      </c>
      <c r="G23" s="233">
        <f>SUM(H23:L23)</f>
        <v>324614</v>
      </c>
      <c r="H23" s="86">
        <f>3!H27</f>
        <v>324614</v>
      </c>
      <c r="I23" s="86"/>
      <c r="J23" s="86"/>
      <c r="K23" s="86"/>
      <c r="L23" s="86"/>
      <c r="M23" s="22" t="s">
        <v>606</v>
      </c>
    </row>
    <row r="24" spans="1:15" ht="12.75" hidden="1">
      <c r="A24" s="254">
        <v>2</v>
      </c>
      <c r="B24" s="368"/>
      <c r="C24" s="254"/>
      <c r="D24" s="369">
        <v>605</v>
      </c>
      <c r="E24" s="89" t="str">
        <f>3!E28</f>
        <v>Budowa  chodników </v>
      </c>
      <c r="F24" s="483"/>
      <c r="G24" s="256">
        <f>SUM(H24:L24)</f>
        <v>0</v>
      </c>
      <c r="H24" s="356">
        <f>3!H28</f>
        <v>0</v>
      </c>
      <c r="I24" s="356"/>
      <c r="J24" s="356"/>
      <c r="K24" s="356"/>
      <c r="L24" s="356"/>
      <c r="M24" s="22" t="s">
        <v>606</v>
      </c>
      <c r="O24" s="1" t="s">
        <v>578</v>
      </c>
    </row>
    <row r="25" spans="1:13" ht="25.5">
      <c r="A25" s="254">
        <v>3</v>
      </c>
      <c r="B25" s="368">
        <v>700</v>
      </c>
      <c r="C25" s="254">
        <v>70005</v>
      </c>
      <c r="D25" s="223">
        <v>6060</v>
      </c>
      <c r="E25" s="235" t="str">
        <f>3!E29</f>
        <v>Inwestycje   w  zasobach   powiatu </v>
      </c>
      <c r="F25" s="356">
        <f>G25</f>
        <v>124600</v>
      </c>
      <c r="G25" s="256">
        <f t="shared" si="2"/>
        <v>124600</v>
      </c>
      <c r="H25" s="356">
        <f>3!H29</f>
        <v>102365</v>
      </c>
      <c r="I25" s="356"/>
      <c r="J25" s="356"/>
      <c r="K25" s="356"/>
      <c r="L25" s="356">
        <v>22235</v>
      </c>
      <c r="M25" s="366" t="s">
        <v>368</v>
      </c>
    </row>
    <row r="26" spans="1:13" ht="33.75">
      <c r="A26" s="254">
        <v>4</v>
      </c>
      <c r="B26" s="368" t="str">
        <f>3!B31</f>
        <v>754/750</v>
      </c>
      <c r="C26" s="254" t="str">
        <f>3!C31</f>
        <v>75478/75020</v>
      </c>
      <c r="D26" s="232">
        <f>3!D31</f>
        <v>606</v>
      </c>
      <c r="E26" s="371" t="str">
        <f>3!E31</f>
        <v>Sprzęt  informatyczny  z   oprogramowaniem ,  inne  biurowe,  z  działu  754  -  8.308</v>
      </c>
      <c r="F26" s="356">
        <f>SUM(G26)</f>
        <v>59308</v>
      </c>
      <c r="G26" s="256">
        <f t="shared" si="2"/>
        <v>59308</v>
      </c>
      <c r="H26" s="356">
        <f>3!H31</f>
        <v>59308</v>
      </c>
      <c r="I26" s="356"/>
      <c r="J26" s="356"/>
      <c r="K26" s="355">
        <f>3!K31</f>
        <v>0</v>
      </c>
      <c r="L26" s="356"/>
      <c r="M26" s="366" t="s">
        <v>368</v>
      </c>
    </row>
    <row r="27" spans="1:13" ht="72">
      <c r="A27" s="254">
        <v>5</v>
      </c>
      <c r="B27" s="368">
        <v>750</v>
      </c>
      <c r="C27" s="254">
        <v>75020</v>
      </c>
      <c r="D27" s="223">
        <v>6050</v>
      </c>
      <c r="E27" s="372" t="str">
        <f>3!E32</f>
        <v>Wykończenie  budynku  zajmowanego   na  potrzeby  Starostwa  Powiatowego na  ul. Towarowej  i  inwestycje   w  zasobach  powiatu (  w  tym  11.000   PUP  ) </v>
      </c>
      <c r="F27" s="356">
        <f>SUM(G27)</f>
        <v>156500</v>
      </c>
      <c r="G27" s="256">
        <f t="shared" si="2"/>
        <v>156500</v>
      </c>
      <c r="H27" s="356">
        <f>3!H32</f>
        <v>107300</v>
      </c>
      <c r="I27" s="356"/>
      <c r="J27" s="356">
        <f>3!J32</f>
        <v>49200</v>
      </c>
      <c r="K27" s="355"/>
      <c r="L27" s="356"/>
      <c r="M27" s="366" t="str">
        <f>3!P32</f>
        <v>STAROSTWO POWIATOWE   i  PUP  DLA  PT   W  TORUNIU  </v>
      </c>
    </row>
    <row r="28" spans="1:13" ht="97.5" customHeight="1">
      <c r="A28" s="254">
        <v>6</v>
      </c>
      <c r="B28" s="368">
        <v>852</v>
      </c>
      <c r="C28" s="254">
        <v>85218</v>
      </c>
      <c r="D28" s="223">
        <v>6050</v>
      </c>
      <c r="E28" s="372" t="s">
        <v>461</v>
      </c>
      <c r="F28" s="356">
        <f>SUM(G28)</f>
        <v>24000</v>
      </c>
      <c r="G28" s="256">
        <f t="shared" si="2"/>
        <v>24000</v>
      </c>
      <c r="H28" s="356">
        <f>3!H33</f>
        <v>24000</v>
      </c>
      <c r="I28" s="356"/>
      <c r="J28" s="356"/>
      <c r="K28" s="355"/>
      <c r="L28" s="356"/>
      <c r="M28" s="366" t="s">
        <v>368</v>
      </c>
    </row>
    <row r="29" spans="1:13" ht="25.5" hidden="1">
      <c r="A29" s="254">
        <v>9</v>
      </c>
      <c r="B29" s="368">
        <v>758</v>
      </c>
      <c r="C29" s="254">
        <v>75818</v>
      </c>
      <c r="D29" s="232">
        <v>6800</v>
      </c>
      <c r="E29" s="371" t="s">
        <v>593</v>
      </c>
      <c r="F29" s="356">
        <f>SUM(G29)</f>
        <v>0</v>
      </c>
      <c r="G29" s="256">
        <f t="shared" si="2"/>
        <v>0</v>
      </c>
      <c r="H29" s="356">
        <f>3!H34</f>
        <v>0</v>
      </c>
      <c r="I29" s="356"/>
      <c r="J29" s="356"/>
      <c r="K29" s="355"/>
      <c r="L29" s="356"/>
      <c r="M29" s="366" t="s">
        <v>368</v>
      </c>
    </row>
    <row r="30" spans="1:13" ht="87.75">
      <c r="A30" s="527">
        <v>7</v>
      </c>
      <c r="B30" s="566" t="s">
        <v>814</v>
      </c>
      <c r="C30" s="565" t="s">
        <v>813</v>
      </c>
      <c r="D30" s="254">
        <v>6050</v>
      </c>
      <c r="E30" s="438" t="str">
        <f>3!E35</f>
        <v>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v>
      </c>
      <c r="F30" s="356">
        <f>G30+3!N35</f>
        <v>5500000</v>
      </c>
      <c r="G30" s="256">
        <f t="shared" si="2"/>
        <v>26000</v>
      </c>
      <c r="H30" s="356">
        <f>3!H35</f>
        <v>26000</v>
      </c>
      <c r="I30" s="356">
        <f>3!I35</f>
        <v>0</v>
      </c>
      <c r="J30" s="356"/>
      <c r="K30" s="355"/>
      <c r="L30" s="356"/>
      <c r="M30" s="366" t="s">
        <v>457</v>
      </c>
    </row>
    <row r="31" spans="1:13" ht="78.75">
      <c r="A31" s="254">
        <v>8</v>
      </c>
      <c r="B31" s="368"/>
      <c r="C31" s="254">
        <v>80102</v>
      </c>
      <c r="D31" s="254"/>
      <c r="E31" s="371" t="str">
        <f>3!E38</f>
        <v>Zagospodarowanie terenów sportowych Szkół  Podstawowych oraz  Gimnazjum   w  Chełmży w tym  zagospodarowanie terenu  sportowego Zespołu  Szkół Specjalnych   w  Chełmży </v>
      </c>
      <c r="F31" s="356">
        <f>G31</f>
        <v>0</v>
      </c>
      <c r="G31" s="256">
        <f aca="true" t="shared" si="3" ref="G31:G44">SUM(H31:L31)</f>
        <v>0</v>
      </c>
      <c r="H31" s="356">
        <f>3!H38</f>
        <v>0</v>
      </c>
      <c r="I31" s="356"/>
      <c r="J31" s="356"/>
      <c r="K31" s="355">
        <f>3!K38</f>
        <v>0</v>
      </c>
      <c r="L31" s="356"/>
      <c r="M31" s="366" t="s">
        <v>368</v>
      </c>
    </row>
    <row r="32" spans="1:13" ht="34.5" customHeight="1">
      <c r="A32" s="254">
        <v>9</v>
      </c>
      <c r="B32" s="368"/>
      <c r="C32" s="254">
        <v>80130</v>
      </c>
      <c r="D32" s="254">
        <v>605</v>
      </c>
      <c r="E32" s="371" t="str">
        <f>3!E36</f>
        <v>Solary  w  DPS  Wielka  Nieszawka </v>
      </c>
      <c r="F32" s="356">
        <f>G32</f>
        <v>12000</v>
      </c>
      <c r="G32" s="256">
        <f t="shared" si="3"/>
        <v>12000</v>
      </c>
      <c r="H32" s="356">
        <f>3!H36</f>
        <v>0</v>
      </c>
      <c r="I32" s="356">
        <f>3!I36</f>
        <v>12000</v>
      </c>
      <c r="J32" s="356">
        <f>3!J36</f>
        <v>0</v>
      </c>
      <c r="K32" s="355"/>
      <c r="L32" s="356"/>
      <c r="M32" s="366" t="str">
        <f>3!P36</f>
        <v>Starostwo  Powiatowe   lub   DPS  Wielka  Nieszawka </v>
      </c>
    </row>
    <row r="33" spans="1:13" ht="25.5">
      <c r="A33" s="17">
        <v>10</v>
      </c>
      <c r="B33" s="368">
        <v>853</v>
      </c>
      <c r="C33" s="254">
        <v>85395</v>
      </c>
      <c r="D33" s="404" t="s">
        <v>482</v>
      </c>
      <c r="E33" s="373" t="s">
        <v>481</v>
      </c>
      <c r="F33" s="356">
        <f>SUM(G33)</f>
        <v>14833</v>
      </c>
      <c r="G33" s="256">
        <f t="shared" si="3"/>
        <v>14833</v>
      </c>
      <c r="H33" s="356">
        <f>3!H39</f>
        <v>0</v>
      </c>
      <c r="I33" s="356"/>
      <c r="J33" s="356"/>
      <c r="K33" s="355"/>
      <c r="L33" s="356">
        <f>3!M39</f>
        <v>14833</v>
      </c>
      <c r="M33" s="366" t="s">
        <v>368</v>
      </c>
    </row>
    <row r="34" spans="1:13" ht="49.5" customHeight="1">
      <c r="A34" s="17">
        <v>11</v>
      </c>
      <c r="B34" s="368">
        <v>801</v>
      </c>
      <c r="C34" s="254">
        <v>80102</v>
      </c>
      <c r="D34" s="17"/>
      <c r="E34" s="64" t="str">
        <f>3!E40</f>
        <v>Zakupy inwestycyjne  z  PFGZGiK -  regały    przesuwne </v>
      </c>
      <c r="F34" s="356">
        <f>SUM(G34)</f>
        <v>70000</v>
      </c>
      <c r="G34" s="256">
        <f t="shared" si="3"/>
        <v>70000</v>
      </c>
      <c r="H34" s="356">
        <f>3!H40</f>
        <v>0</v>
      </c>
      <c r="I34" s="356"/>
      <c r="J34" s="356"/>
      <c r="K34" s="355">
        <f>3!L40</f>
        <v>70000</v>
      </c>
      <c r="L34" s="356"/>
      <c r="M34" s="366" t="s">
        <v>368</v>
      </c>
    </row>
    <row r="35" spans="1:13" ht="25.5">
      <c r="A35" s="254">
        <v>12</v>
      </c>
      <c r="B35" s="368">
        <v>851</v>
      </c>
      <c r="C35" s="254">
        <v>85111</v>
      </c>
      <c r="D35" s="404"/>
      <c r="E35" s="373" t="str">
        <f>3!E41</f>
        <v>Zakup  udziałów w  spółce  Szpital  Powiatowy   w  Chełmży </v>
      </c>
      <c r="F35" s="356">
        <f>SUM(G35)</f>
        <v>2990000</v>
      </c>
      <c r="G35" s="256">
        <f t="shared" si="3"/>
        <v>2990000</v>
      </c>
      <c r="H35" s="356">
        <f>3!H41</f>
        <v>0</v>
      </c>
      <c r="I35" s="356"/>
      <c r="J35" s="356">
        <f>3!J41</f>
        <v>955747</v>
      </c>
      <c r="K35" s="355">
        <f>3!K41</f>
        <v>2034253</v>
      </c>
      <c r="L35" s="356"/>
      <c r="M35" s="366" t="s">
        <v>368</v>
      </c>
    </row>
    <row r="36" spans="1:13" ht="56.25">
      <c r="A36" s="265">
        <v>13</v>
      </c>
      <c r="B36" s="374" t="s">
        <v>809</v>
      </c>
      <c r="C36" s="145" t="s">
        <v>810</v>
      </c>
      <c r="D36" s="254">
        <v>605</v>
      </c>
      <c r="E36" s="371" t="str">
        <f>3!E44</f>
        <v>„ Przebudowa  i  dostosowanie   do  obowiązujących   standardów dla  Domu  Pomocy  Społecznej   budynku  Zespołu   nr   2   DPS   w  Browinie „  .</v>
      </c>
      <c r="F36" s="356">
        <f>G36+44800</f>
        <v>3204114</v>
      </c>
      <c r="G36" s="256">
        <f t="shared" si="3"/>
        <v>3159314</v>
      </c>
      <c r="H36" s="356">
        <f>3!H44</f>
        <v>586000</v>
      </c>
      <c r="I36" s="356">
        <f>3!I44</f>
        <v>576700</v>
      </c>
      <c r="J36" s="356"/>
      <c r="K36" s="355">
        <f>3!L44</f>
        <v>0</v>
      </c>
      <c r="L36" s="356">
        <f>3!M44</f>
        <v>1996614</v>
      </c>
      <c r="M36" s="366" t="str">
        <f>3!P44</f>
        <v>STAROSTWO POWIATOWE  lub   DPS Browina </v>
      </c>
    </row>
    <row r="37" spans="1:13" ht="38.25">
      <c r="A37" s="265">
        <v>14</v>
      </c>
      <c r="B37" s="374">
        <f>3!B45</f>
        <v>852</v>
      </c>
      <c r="C37" s="145">
        <f>3!C45</f>
        <v>85202</v>
      </c>
      <c r="D37" s="254">
        <v>605</v>
      </c>
      <c r="E37" s="371" t="str">
        <f>3!E45</f>
        <v>Montaż  windy towarowej  w  DPS Browina - bud.  Nr   1 </v>
      </c>
      <c r="F37" s="356">
        <f>G37</f>
        <v>50000</v>
      </c>
      <c r="G37" s="256">
        <f t="shared" si="3"/>
        <v>50000</v>
      </c>
      <c r="H37" s="356">
        <f>3!H45</f>
        <v>50000</v>
      </c>
      <c r="I37" s="356">
        <f>3!I45</f>
        <v>0</v>
      </c>
      <c r="J37" s="356"/>
      <c r="K37" s="355">
        <f>3!L45</f>
        <v>0</v>
      </c>
      <c r="L37" s="356">
        <f>3!M45</f>
        <v>0</v>
      </c>
      <c r="M37" s="366" t="str">
        <f>3!P45</f>
        <v>STAROSTWO POWIATOWE  lub   DPS Browina </v>
      </c>
    </row>
    <row r="38" spans="1:13" ht="52.5" customHeight="1">
      <c r="A38" s="265">
        <v>15</v>
      </c>
      <c r="B38" s="254"/>
      <c r="C38" s="622">
        <v>852</v>
      </c>
      <c r="D38" s="623">
        <v>605</v>
      </c>
      <c r="E38" s="373" t="str">
        <f>3!E46</f>
        <v>Termomodernizacja budynków   powiatu  przy  ul.  Szewskiej  w  Chełmży  ,   kotłownia </v>
      </c>
      <c r="F38" s="356">
        <f>SUM(G38)</f>
        <v>460000</v>
      </c>
      <c r="G38" s="256">
        <f t="shared" si="3"/>
        <v>460000</v>
      </c>
      <c r="H38" s="356">
        <f>3!H46</f>
        <v>0</v>
      </c>
      <c r="I38" s="356">
        <f>3!I46</f>
        <v>460000</v>
      </c>
      <c r="J38" s="356"/>
      <c r="K38" s="355"/>
      <c r="L38" s="356"/>
      <c r="M38" s="366" t="s">
        <v>368</v>
      </c>
    </row>
    <row r="39" spans="1:13" ht="51">
      <c r="A39" s="265">
        <v>16</v>
      </c>
      <c r="B39" s="376"/>
      <c r="C39" s="565" t="s">
        <v>808</v>
      </c>
      <c r="D39" s="366">
        <v>605</v>
      </c>
      <c r="E39" s="378" t="str">
        <f>3!E51</f>
        <v>Termomodernizacja budynku warsztatów-kontynuacja  w  Z.SZ. CKU  Gronowo</v>
      </c>
      <c r="F39" s="356">
        <f>G39</f>
        <v>137000</v>
      </c>
      <c r="G39" s="256">
        <f t="shared" si="3"/>
        <v>137000</v>
      </c>
      <c r="H39" s="356">
        <f>3!H51</f>
        <v>0</v>
      </c>
      <c r="I39" s="356">
        <f>3!I51</f>
        <v>137000</v>
      </c>
      <c r="J39" s="356"/>
      <c r="K39" s="355"/>
      <c r="L39" s="356"/>
      <c r="M39" s="366" t="s">
        <v>368</v>
      </c>
    </row>
    <row r="40" spans="1:13" ht="25.5" customHeight="1">
      <c r="A40" s="265">
        <v>17</v>
      </c>
      <c r="B40" s="254"/>
      <c r="C40" s="565" t="s">
        <v>808</v>
      </c>
      <c r="D40" s="366">
        <v>617</v>
      </c>
      <c r="E40" s="378" t="str">
        <f>3!E47</f>
        <v>Wpłaty  na  fundusz   celowy (f.wsparcia  )</v>
      </c>
      <c r="F40" s="356">
        <f>SUM(G40)+3!N41</f>
        <v>50000</v>
      </c>
      <c r="G40" s="256">
        <f t="shared" si="3"/>
        <v>50000</v>
      </c>
      <c r="H40" s="356">
        <f>3!H47</f>
        <v>0</v>
      </c>
      <c r="I40" s="356">
        <f>3!I47</f>
        <v>50000</v>
      </c>
      <c r="J40" s="356"/>
      <c r="K40" s="355"/>
      <c r="L40" s="356"/>
      <c r="M40" s="366" t="s">
        <v>368</v>
      </c>
    </row>
    <row r="41" spans="1:13" ht="89.25">
      <c r="A41" s="265">
        <v>18</v>
      </c>
      <c r="B41" s="254"/>
      <c r="C41" s="565" t="s">
        <v>808</v>
      </c>
      <c r="D41" s="366">
        <v>662</v>
      </c>
      <c r="E41" s="378" t="str">
        <f>3!E48</f>
        <v>Dotacje celowe przekazane dla powiatu na inwestycje i zakupy inwestycyjne realizowane na podstawie porozumień (umów) między jednostkami samorządu terytorialnego </v>
      </c>
      <c r="F41" s="356">
        <f>SUM(G41)+3!N41</f>
        <v>50000</v>
      </c>
      <c r="G41" s="256">
        <f t="shared" si="3"/>
        <v>50000</v>
      </c>
      <c r="H41" s="356"/>
      <c r="I41" s="356">
        <f>3!I48</f>
        <v>50000</v>
      </c>
      <c r="J41" s="356"/>
      <c r="K41" s="355"/>
      <c r="L41" s="356"/>
      <c r="M41" s="366" t="s">
        <v>368</v>
      </c>
    </row>
    <row r="42" spans="1:13" ht="51">
      <c r="A42" s="265">
        <v>19</v>
      </c>
      <c r="B42" s="376"/>
      <c r="C42" s="565" t="s">
        <v>808</v>
      </c>
      <c r="D42" s="366">
        <v>605</v>
      </c>
      <c r="E42" s="378" t="str">
        <f>3!E50</f>
        <v>Termomodernizacja budynku Towarowa  (  wiatrołap ) ,  pompy  i   łódź  dla  KMPSP</v>
      </c>
      <c r="F42" s="356">
        <f>G42</f>
        <v>17200</v>
      </c>
      <c r="G42" s="256">
        <f t="shared" si="3"/>
        <v>17200</v>
      </c>
      <c r="H42" s="356">
        <f>3!H54</f>
        <v>0</v>
      </c>
      <c r="I42" s="356">
        <f>3!I50</f>
        <v>17200</v>
      </c>
      <c r="J42" s="356"/>
      <c r="K42" s="355"/>
      <c r="L42" s="356"/>
      <c r="M42" s="366" t="s">
        <v>368</v>
      </c>
    </row>
    <row r="43" spans="1:13" ht="127.5">
      <c r="A43" s="265" t="s">
        <v>551</v>
      </c>
      <c r="B43" s="254"/>
      <c r="C43" s="565" t="s">
        <v>505</v>
      </c>
      <c r="D43" s="366">
        <v>605</v>
      </c>
      <c r="E43" s="378" t="str">
        <f>3!E42</f>
        <v>„  Przebudowa systemu  ogrzewania  budynku  i  przygotowania ciepłej wody  użytkowej poprzez zastosowanie zespołu pomp ciepła wykorzystujących energię geotermiczną  ziemi  dla  Domu  Pomocy Społecznej   w  Pigży „</v>
      </c>
      <c r="F43" s="356">
        <f>SUM(G43)+3!N42</f>
        <v>653822</v>
      </c>
      <c r="G43" s="256">
        <f t="shared" si="3"/>
        <v>45018</v>
      </c>
      <c r="H43" s="356">
        <f>3!H42</f>
        <v>0</v>
      </c>
      <c r="I43" s="356">
        <f>3!I42</f>
        <v>45018</v>
      </c>
      <c r="J43" s="356"/>
      <c r="K43" s="355"/>
      <c r="L43" s="356"/>
      <c r="M43" s="366" t="s">
        <v>368</v>
      </c>
    </row>
    <row r="44" spans="1:13" ht="105">
      <c r="A44" s="254">
        <v>28</v>
      </c>
      <c r="B44" s="254"/>
      <c r="C44" s="215" t="s">
        <v>559</v>
      </c>
      <c r="D44" s="265">
        <v>605</v>
      </c>
      <c r="E44" s="686" t="str">
        <f>3!E52</f>
        <v>„Adaptacja  pomieszczeń  budynku  warsztatowego   na  pracownię  spawalnictwa  z zapleczem   szkoleniowym  i  socjalnym.  Z.SZ.  CKU   w  Gronowie .  </v>
      </c>
      <c r="F44" s="356">
        <f>3!F52</f>
        <v>938100</v>
      </c>
      <c r="G44" s="256">
        <f t="shared" si="3"/>
        <v>11200</v>
      </c>
      <c r="H44" s="356">
        <f>3!H52</f>
        <v>11200</v>
      </c>
      <c r="I44" s="356"/>
      <c r="J44" s="356"/>
      <c r="K44" s="355">
        <f>3!L52</f>
        <v>0</v>
      </c>
      <c r="L44" s="356"/>
      <c r="M44" s="366" t="s">
        <v>368</v>
      </c>
    </row>
    <row r="45" spans="1:13" ht="16.5" customHeight="1">
      <c r="A45" s="17"/>
      <c r="B45" s="755" t="s">
        <v>618</v>
      </c>
      <c r="C45" s="756"/>
      <c r="D45" s="756"/>
      <c r="E45" s="756"/>
      <c r="F45" s="356">
        <f>SUM(F11:F44)-F20</f>
        <v>64646034</v>
      </c>
      <c r="G45" s="108">
        <f>SUM(G11:G44)-G20</f>
        <v>14463787</v>
      </c>
      <c r="H45" s="356">
        <f>SUM(H11:H44)-H20</f>
        <v>5377934</v>
      </c>
      <c r="I45" s="356">
        <f>SUM(I11:I44)-I20</f>
        <v>1347918</v>
      </c>
      <c r="J45" s="356">
        <f>SUM(J11:J44)-J21</f>
        <v>3600000</v>
      </c>
      <c r="K45" s="356">
        <f>SUM(K11:K44)-K21</f>
        <v>2104253</v>
      </c>
      <c r="L45" s="356">
        <f>SUM(L11:L44)-L21</f>
        <v>2033682</v>
      </c>
      <c r="M45" s="54" t="s">
        <v>710</v>
      </c>
    </row>
    <row r="46" spans="6:12" ht="12.75">
      <c r="F46" s="255"/>
      <c r="G46" s="255"/>
      <c r="H46" s="255"/>
      <c r="I46" s="255"/>
      <c r="J46" s="255"/>
      <c r="K46" s="255"/>
      <c r="L46" s="255"/>
    </row>
    <row r="47" spans="6:12" ht="12.75">
      <c r="F47" s="255"/>
      <c r="G47" s="255"/>
      <c r="H47" s="255"/>
      <c r="I47" s="255"/>
      <c r="J47" s="255"/>
      <c r="K47" s="255"/>
      <c r="L47" s="255"/>
    </row>
    <row r="48" spans="6:12" ht="12.75">
      <c r="F48" s="255"/>
      <c r="G48" s="255"/>
      <c r="H48" s="255"/>
      <c r="I48" s="255"/>
      <c r="J48" s="255"/>
      <c r="K48" s="255"/>
      <c r="L48" s="255"/>
    </row>
  </sheetData>
  <sheetProtection/>
  <mergeCells count="16">
    <mergeCell ref="A3:A7"/>
    <mergeCell ref="B3:B7"/>
    <mergeCell ref="C3:C7"/>
    <mergeCell ref="G3:L3"/>
    <mergeCell ref="K5:K7"/>
    <mergeCell ref="J5:J7"/>
    <mergeCell ref="B45:E45"/>
    <mergeCell ref="E3:E7"/>
    <mergeCell ref="I5:I7"/>
    <mergeCell ref="H5:H7"/>
    <mergeCell ref="M3:M7"/>
    <mergeCell ref="G4:G7"/>
    <mergeCell ref="D3:D7"/>
    <mergeCell ref="F3:F7"/>
    <mergeCell ref="H4:L4"/>
    <mergeCell ref="L5:L7"/>
  </mergeCells>
  <printOptions horizontalCentered="1"/>
  <pageMargins left="0.5118110236220472" right="0.3937007874015748" top="1.3779527559055118" bottom="0.7874015748031497" header="0.5118110236220472" footer="0.5118110236220472"/>
  <pageSetup horizontalDpi="600" verticalDpi="600" orientation="landscape" paperSize="9" scale="80" r:id="rId1"/>
  <headerFooter alignWithMargins="0">
    <oddHeader>&amp;R&amp;9Załącznik nr 3a
do uchwały Rady Powiatu 
nr XXXIV/210/10
z dnia 15.10.2010 r.</oddHeader>
  </headerFooter>
</worksheet>
</file>

<file path=xl/worksheets/sheet5.xml><?xml version="1.0" encoding="utf-8"?>
<worksheet xmlns="http://schemas.openxmlformats.org/spreadsheetml/2006/main" xmlns:r="http://schemas.openxmlformats.org/officeDocument/2006/relationships">
  <dimension ref="A1:S462"/>
  <sheetViews>
    <sheetView zoomScalePageLayoutView="0" workbookViewId="0" topLeftCell="B1">
      <pane ySplit="9" topLeftCell="A356" activePane="bottomLeft" state="frozen"/>
      <selection pane="topLeft" activeCell="A1" sqref="A1"/>
      <selection pane="bottomLeft" activeCell="B462" sqref="B462:D463"/>
    </sheetView>
  </sheetViews>
  <sheetFormatPr defaultColWidth="10.25390625" defaultRowHeight="12.75"/>
  <cols>
    <col min="1" max="1" width="3.625" style="10" bestFit="1" customWidth="1"/>
    <col min="2" max="2" width="14.125" style="279" customWidth="1"/>
    <col min="3" max="3" width="7.125" style="10" customWidth="1"/>
    <col min="4" max="4" width="8.25390625" style="10" customWidth="1"/>
    <col min="5" max="5" width="9.875" style="10" customWidth="1"/>
    <col min="6" max="6" width="10.125" style="10" bestFit="1" customWidth="1"/>
    <col min="7" max="7" width="9.75390625" style="10" customWidth="1"/>
    <col min="8" max="8" width="9.00390625" style="10" customWidth="1"/>
    <col min="9" max="9" width="8.625" style="10" customWidth="1"/>
    <col min="10" max="10" width="6.75390625" style="10" customWidth="1"/>
    <col min="11" max="11" width="8.375" style="10" customWidth="1"/>
    <col min="12" max="12" width="9.75390625" style="10" customWidth="1"/>
    <col min="13" max="13" width="10.875" style="10" customWidth="1"/>
    <col min="14" max="14" width="10.375" style="10" customWidth="1"/>
    <col min="15" max="15" width="6.25390625" style="10" customWidth="1"/>
    <col min="16" max="16" width="5.00390625" style="10" customWidth="1"/>
    <col min="17" max="17" width="9.875" style="10" customWidth="1"/>
    <col min="18" max="16384" width="10.25390625" style="10" customWidth="1"/>
  </cols>
  <sheetData>
    <row r="1" spans="1:17" ht="12.75">
      <c r="A1" s="769" t="s">
        <v>776</v>
      </c>
      <c r="B1" s="769"/>
      <c r="C1" s="769"/>
      <c r="D1" s="769"/>
      <c r="E1" s="769"/>
      <c r="F1" s="769"/>
      <c r="G1" s="769"/>
      <c r="H1" s="769"/>
      <c r="I1" s="769"/>
      <c r="J1" s="769"/>
      <c r="K1" s="769"/>
      <c r="L1" s="769"/>
      <c r="M1" s="769"/>
      <c r="N1" s="769"/>
      <c r="O1" s="769"/>
      <c r="P1" s="769"/>
      <c r="Q1" s="769"/>
    </row>
    <row r="3" spans="1:17" ht="11.25">
      <c r="A3" s="770" t="s">
        <v>721</v>
      </c>
      <c r="B3" s="771" t="s">
        <v>734</v>
      </c>
      <c r="C3" s="772" t="s">
        <v>735</v>
      </c>
      <c r="D3" s="771" t="s">
        <v>84</v>
      </c>
      <c r="E3" s="771" t="s">
        <v>780</v>
      </c>
      <c r="F3" s="770" t="s">
        <v>669</v>
      </c>
      <c r="G3" s="770"/>
      <c r="H3" s="770" t="s">
        <v>733</v>
      </c>
      <c r="I3" s="770"/>
      <c r="J3" s="770"/>
      <c r="K3" s="770"/>
      <c r="L3" s="770"/>
      <c r="M3" s="770"/>
      <c r="N3" s="770"/>
      <c r="O3" s="770"/>
      <c r="P3" s="770"/>
      <c r="Q3" s="770"/>
    </row>
    <row r="4" spans="1:17" ht="11.25">
      <c r="A4" s="770"/>
      <c r="B4" s="771"/>
      <c r="C4" s="772"/>
      <c r="D4" s="771"/>
      <c r="E4" s="771"/>
      <c r="F4" s="771" t="s">
        <v>777</v>
      </c>
      <c r="G4" s="771" t="s">
        <v>778</v>
      </c>
      <c r="H4" s="770">
        <v>2010</v>
      </c>
      <c r="I4" s="770"/>
      <c r="J4" s="770"/>
      <c r="K4" s="770"/>
      <c r="L4" s="770"/>
      <c r="M4" s="770"/>
      <c r="N4" s="770"/>
      <c r="O4" s="770"/>
      <c r="P4" s="770"/>
      <c r="Q4" s="770"/>
    </row>
    <row r="5" spans="1:17" ht="11.25">
      <c r="A5" s="770"/>
      <c r="B5" s="771"/>
      <c r="C5" s="772"/>
      <c r="D5" s="771"/>
      <c r="E5" s="771"/>
      <c r="F5" s="771"/>
      <c r="G5" s="771"/>
      <c r="H5" s="771" t="s">
        <v>737</v>
      </c>
      <c r="I5" s="770" t="s">
        <v>738</v>
      </c>
      <c r="J5" s="770"/>
      <c r="K5" s="770"/>
      <c r="L5" s="770"/>
      <c r="M5" s="770"/>
      <c r="N5" s="770"/>
      <c r="O5" s="770"/>
      <c r="P5" s="770"/>
      <c r="Q5" s="770"/>
    </row>
    <row r="6" spans="1:17" ht="14.25" customHeight="1">
      <c r="A6" s="770"/>
      <c r="B6" s="771"/>
      <c r="C6" s="772"/>
      <c r="D6" s="771"/>
      <c r="E6" s="771"/>
      <c r="F6" s="771"/>
      <c r="G6" s="771"/>
      <c r="H6" s="771"/>
      <c r="I6" s="770" t="s">
        <v>739</v>
      </c>
      <c r="J6" s="770"/>
      <c r="K6" s="770"/>
      <c r="L6" s="770"/>
      <c r="M6" s="770" t="s">
        <v>736</v>
      </c>
      <c r="N6" s="770"/>
      <c r="O6" s="770"/>
      <c r="P6" s="770"/>
      <c r="Q6" s="770"/>
    </row>
    <row r="7" spans="1:17" ht="12.75" customHeight="1">
      <c r="A7" s="770"/>
      <c r="B7" s="771"/>
      <c r="C7" s="772"/>
      <c r="D7" s="771"/>
      <c r="E7" s="771"/>
      <c r="F7" s="771"/>
      <c r="G7" s="771"/>
      <c r="H7" s="771"/>
      <c r="I7" s="771" t="s">
        <v>740</v>
      </c>
      <c r="J7" s="770" t="s">
        <v>741</v>
      </c>
      <c r="K7" s="770"/>
      <c r="L7" s="770"/>
      <c r="M7" s="771" t="s">
        <v>742</v>
      </c>
      <c r="N7" s="771" t="s">
        <v>741</v>
      </c>
      <c r="O7" s="771"/>
      <c r="P7" s="771"/>
      <c r="Q7" s="771"/>
    </row>
    <row r="8" spans="1:17" ht="48" customHeight="1">
      <c r="A8" s="770"/>
      <c r="B8" s="771"/>
      <c r="C8" s="772"/>
      <c r="D8" s="771"/>
      <c r="E8" s="771"/>
      <c r="F8" s="771"/>
      <c r="G8" s="771"/>
      <c r="H8" s="771"/>
      <c r="I8" s="771"/>
      <c r="J8" s="33" t="s">
        <v>779</v>
      </c>
      <c r="K8" s="33" t="s">
        <v>743</v>
      </c>
      <c r="L8" s="33" t="s">
        <v>744</v>
      </c>
      <c r="M8" s="771"/>
      <c r="N8" s="252" t="s">
        <v>745</v>
      </c>
      <c r="O8" s="252" t="s">
        <v>779</v>
      </c>
      <c r="P8" s="252" t="s">
        <v>743</v>
      </c>
      <c r="Q8" s="33" t="s">
        <v>746</v>
      </c>
    </row>
    <row r="9" spans="1:17" ht="35.25" customHeight="1">
      <c r="A9" s="11">
        <v>1</v>
      </c>
      <c r="B9" s="273">
        <v>2</v>
      </c>
      <c r="C9" s="11">
        <v>3</v>
      </c>
      <c r="D9" s="11">
        <v>4</v>
      </c>
      <c r="E9" s="11">
        <v>5</v>
      </c>
      <c r="F9" s="11">
        <v>6</v>
      </c>
      <c r="G9" s="11">
        <v>7</v>
      </c>
      <c r="H9" s="11">
        <v>8</v>
      </c>
      <c r="I9" s="11">
        <v>9</v>
      </c>
      <c r="J9" s="11">
        <v>10</v>
      </c>
      <c r="K9" s="11">
        <v>11</v>
      </c>
      <c r="L9" s="11">
        <v>12</v>
      </c>
      <c r="M9" s="11">
        <v>13</v>
      </c>
      <c r="N9" s="11">
        <v>14</v>
      </c>
      <c r="O9" s="11">
        <v>15</v>
      </c>
      <c r="P9" s="11">
        <v>16</v>
      </c>
      <c r="Q9" s="11">
        <v>17</v>
      </c>
    </row>
    <row r="10" spans="1:17" s="55" customFormat="1" ht="27.75" customHeight="1">
      <c r="A10" s="41">
        <v>1</v>
      </c>
      <c r="B10" s="274" t="s">
        <v>747</v>
      </c>
      <c r="C10" s="781" t="s">
        <v>710</v>
      </c>
      <c r="D10" s="782"/>
      <c r="E10" s="198">
        <f>E15+E23+E75+E32+E40+E48+E56+E64+E85</f>
        <v>41404153</v>
      </c>
      <c r="F10" s="198">
        <f aca="true" t="shared" si="0" ref="F10:Q10">F15+F23+F75+F32+F40+F48+F56+F64+F85</f>
        <v>19389569</v>
      </c>
      <c r="G10" s="198">
        <f t="shared" si="0"/>
        <v>22014584</v>
      </c>
      <c r="H10" s="198">
        <f t="shared" si="0"/>
        <v>41404153</v>
      </c>
      <c r="I10" s="198">
        <f t="shared" si="0"/>
        <v>16156710</v>
      </c>
      <c r="J10" s="198">
        <f t="shared" si="0"/>
        <v>0</v>
      </c>
      <c r="K10" s="198">
        <f t="shared" si="0"/>
        <v>0</v>
      </c>
      <c r="L10" s="198">
        <f t="shared" si="0"/>
        <v>16156710</v>
      </c>
      <c r="M10" s="198">
        <f t="shared" si="0"/>
        <v>24217143</v>
      </c>
      <c r="N10" s="198">
        <f t="shared" si="0"/>
        <v>0</v>
      </c>
      <c r="O10" s="198">
        <f t="shared" si="0"/>
        <v>0</v>
      </c>
      <c r="P10" s="198">
        <f t="shared" si="0"/>
        <v>0</v>
      </c>
      <c r="Q10" s="198">
        <f t="shared" si="0"/>
        <v>24217143</v>
      </c>
    </row>
    <row r="11" spans="1:17" ht="15.75" customHeight="1">
      <c r="A11" s="774" t="s">
        <v>748</v>
      </c>
      <c r="B11" s="275" t="s">
        <v>749</v>
      </c>
      <c r="C11" s="783" t="s">
        <v>615</v>
      </c>
      <c r="D11" s="783"/>
      <c r="E11" s="783"/>
      <c r="F11" s="783"/>
      <c r="G11" s="783"/>
      <c r="H11" s="783"/>
      <c r="I11" s="783"/>
      <c r="J11" s="783"/>
      <c r="K11" s="783"/>
      <c r="L11" s="783"/>
      <c r="M11" s="783"/>
      <c r="N11" s="783"/>
      <c r="O11" s="783"/>
      <c r="P11" s="783"/>
      <c r="Q11" s="783"/>
    </row>
    <row r="12" spans="1:17" ht="12.75" customHeight="1">
      <c r="A12" s="774"/>
      <c r="B12" s="275" t="s">
        <v>750</v>
      </c>
      <c r="C12" s="783"/>
      <c r="D12" s="783"/>
      <c r="E12" s="783"/>
      <c r="F12" s="783"/>
      <c r="G12" s="783"/>
      <c r="H12" s="783"/>
      <c r="I12" s="783"/>
      <c r="J12" s="783"/>
      <c r="K12" s="783"/>
      <c r="L12" s="783"/>
      <c r="M12" s="783"/>
      <c r="N12" s="783"/>
      <c r="O12" s="783"/>
      <c r="P12" s="783"/>
      <c r="Q12" s="783"/>
    </row>
    <row r="13" spans="1:17" ht="12.75" customHeight="1">
      <c r="A13" s="774"/>
      <c r="B13" s="275" t="s">
        <v>751</v>
      </c>
      <c r="C13" s="783"/>
      <c r="D13" s="783"/>
      <c r="E13" s="783"/>
      <c r="F13" s="783"/>
      <c r="G13" s="783"/>
      <c r="H13" s="783"/>
      <c r="I13" s="783"/>
      <c r="J13" s="783"/>
      <c r="K13" s="783"/>
      <c r="L13" s="783"/>
      <c r="M13" s="783"/>
      <c r="N13" s="783"/>
      <c r="O13" s="783"/>
      <c r="P13" s="783"/>
      <c r="Q13" s="783"/>
    </row>
    <row r="14" spans="1:17" ht="68.25" customHeight="1">
      <c r="A14" s="774"/>
      <c r="B14" s="276" t="s">
        <v>752</v>
      </c>
      <c r="C14" s="783" t="s">
        <v>534</v>
      </c>
      <c r="D14" s="783"/>
      <c r="E14" s="783"/>
      <c r="F14" s="783"/>
      <c r="G14" s="783"/>
      <c r="H14" s="783"/>
      <c r="I14" s="783"/>
      <c r="J14" s="783"/>
      <c r="K14" s="783"/>
      <c r="L14" s="783"/>
      <c r="M14" s="783"/>
      <c r="N14" s="783"/>
      <c r="O14" s="783"/>
      <c r="P14" s="783"/>
      <c r="Q14" s="783"/>
    </row>
    <row r="15" spans="1:17" ht="21" customHeight="1">
      <c r="A15" s="774"/>
      <c r="B15" s="134" t="s">
        <v>753</v>
      </c>
      <c r="C15" s="133"/>
      <c r="D15" s="234" t="s">
        <v>616</v>
      </c>
      <c r="E15" s="484">
        <f>SUM(E18:E21)</f>
        <v>3506276</v>
      </c>
      <c r="F15" s="484">
        <f aca="true" t="shared" si="1" ref="F15:Q15">SUM(F18:F21)</f>
        <v>1761104</v>
      </c>
      <c r="G15" s="484">
        <f t="shared" si="1"/>
        <v>1745172</v>
      </c>
      <c r="H15" s="484">
        <f t="shared" si="1"/>
        <v>3506276</v>
      </c>
      <c r="I15" s="484">
        <f t="shared" si="1"/>
        <v>1761104</v>
      </c>
      <c r="J15" s="484">
        <f t="shared" si="1"/>
        <v>0</v>
      </c>
      <c r="K15" s="484">
        <f t="shared" si="1"/>
        <v>0</v>
      </c>
      <c r="L15" s="117">
        <f t="shared" si="1"/>
        <v>1761104</v>
      </c>
      <c r="M15" s="117">
        <f t="shared" si="1"/>
        <v>1745172</v>
      </c>
      <c r="N15" s="117">
        <f t="shared" si="1"/>
        <v>0</v>
      </c>
      <c r="O15" s="117">
        <f t="shared" si="1"/>
        <v>0</v>
      </c>
      <c r="P15" s="117">
        <f t="shared" si="1"/>
        <v>0</v>
      </c>
      <c r="Q15" s="484">
        <f t="shared" si="1"/>
        <v>1745172</v>
      </c>
    </row>
    <row r="16" spans="1:17" ht="12.75">
      <c r="A16" s="774"/>
      <c r="B16" s="134"/>
      <c r="C16" s="133"/>
      <c r="D16" s="134"/>
      <c r="E16" s="140">
        <f aca="true" t="shared" si="2" ref="E16:E21">SUM(F16:G16)</f>
        <v>0</v>
      </c>
      <c r="F16" s="135">
        <f>I16</f>
        <v>0</v>
      </c>
      <c r="G16" s="135"/>
      <c r="H16" s="133">
        <f aca="true" t="shared" si="3" ref="H16:H21">I16+M16</f>
        <v>0</v>
      </c>
      <c r="I16" s="133">
        <f aca="true" t="shared" si="4" ref="I16:I21">SUM(J16:L16)</f>
        <v>0</v>
      </c>
      <c r="J16" s="133"/>
      <c r="K16" s="133"/>
      <c r="L16" s="135"/>
      <c r="M16" s="133">
        <f>SUM(N16:Q16)</f>
        <v>0</v>
      </c>
      <c r="N16" s="133"/>
      <c r="O16" s="133"/>
      <c r="P16" s="133"/>
      <c r="Q16" s="135"/>
    </row>
    <row r="17" spans="1:17" ht="12.75">
      <c r="A17" s="774"/>
      <c r="B17" s="134"/>
      <c r="C17" s="133"/>
      <c r="D17" s="134"/>
      <c r="E17" s="140">
        <f t="shared" si="2"/>
        <v>0</v>
      </c>
      <c r="F17" s="135">
        <f>I17</f>
        <v>0</v>
      </c>
      <c r="G17" s="135"/>
      <c r="H17" s="133">
        <f t="shared" si="3"/>
        <v>0</v>
      </c>
      <c r="I17" s="133">
        <f t="shared" si="4"/>
        <v>0</v>
      </c>
      <c r="J17" s="133"/>
      <c r="K17" s="133"/>
      <c r="L17" s="135"/>
      <c r="M17" s="133">
        <f>SUM(N17:Q17)</f>
        <v>0</v>
      </c>
      <c r="N17" s="133"/>
      <c r="O17" s="133"/>
      <c r="P17" s="133"/>
      <c r="Q17" s="135"/>
    </row>
    <row r="18" spans="1:17" s="629" customFormat="1" ht="12.75">
      <c r="A18" s="774"/>
      <c r="B18" s="624" t="s">
        <v>486</v>
      </c>
      <c r="C18" s="625"/>
      <c r="D18" s="625"/>
      <c r="E18" s="626">
        <f t="shared" si="2"/>
        <v>3506276</v>
      </c>
      <c r="F18" s="135">
        <f>I18</f>
        <v>1761104</v>
      </c>
      <c r="G18" s="627">
        <f>M18</f>
        <v>1745172</v>
      </c>
      <c r="H18" s="628">
        <f t="shared" si="3"/>
        <v>3506276</v>
      </c>
      <c r="I18" s="628">
        <f t="shared" si="4"/>
        <v>1761104</v>
      </c>
      <c r="J18" s="625">
        <f>SUM(J16:J17)</f>
        <v>0</v>
      </c>
      <c r="K18" s="625">
        <f>SUM(K16:K17)</f>
        <v>0</v>
      </c>
      <c r="L18" s="675">
        <v>1761104</v>
      </c>
      <c r="M18" s="628">
        <f>SUM(N18:Q18)</f>
        <v>1745172</v>
      </c>
      <c r="N18" s="625">
        <f>SUM(N16:N17)</f>
        <v>0</v>
      </c>
      <c r="O18" s="625">
        <f>SUM(O16:O17)</f>
        <v>0</v>
      </c>
      <c r="P18" s="625">
        <f>SUM(P16:P17)</f>
        <v>0</v>
      </c>
      <c r="Q18" s="675">
        <v>1745172</v>
      </c>
    </row>
    <row r="19" spans="1:17" ht="11.25">
      <c r="A19" s="774"/>
      <c r="B19" s="134" t="s">
        <v>487</v>
      </c>
      <c r="C19" s="136"/>
      <c r="D19" s="136">
        <v>6059</v>
      </c>
      <c r="E19" s="484">
        <f>SUM(F19:G19)</f>
        <v>0</v>
      </c>
      <c r="F19" s="135">
        <f>I19</f>
        <v>0</v>
      </c>
      <c r="G19" s="135">
        <f>M19</f>
        <v>0</v>
      </c>
      <c r="H19" s="133">
        <f t="shared" si="3"/>
        <v>0</v>
      </c>
      <c r="I19" s="133">
        <f t="shared" si="4"/>
        <v>0</v>
      </c>
      <c r="J19" s="136"/>
      <c r="K19" s="136"/>
      <c r="L19" s="136"/>
      <c r="M19" s="136"/>
      <c r="N19" s="136"/>
      <c r="O19" s="136"/>
      <c r="P19" s="136"/>
      <c r="Q19" s="136"/>
    </row>
    <row r="20" spans="1:17" ht="11.25">
      <c r="A20" s="774"/>
      <c r="B20" s="134" t="s">
        <v>488</v>
      </c>
      <c r="C20" s="136"/>
      <c r="D20" s="136"/>
      <c r="E20" s="484">
        <f t="shared" si="2"/>
        <v>0</v>
      </c>
      <c r="F20" s="135">
        <f>I20</f>
        <v>0</v>
      </c>
      <c r="G20" s="135">
        <f>M20</f>
        <v>0</v>
      </c>
      <c r="H20" s="133">
        <f t="shared" si="3"/>
        <v>0</v>
      </c>
      <c r="I20" s="133">
        <f t="shared" si="4"/>
        <v>0</v>
      </c>
      <c r="J20" s="136"/>
      <c r="K20" s="133"/>
      <c r="L20" s="135"/>
      <c r="M20" s="242">
        <f>Q20</f>
        <v>0</v>
      </c>
      <c r="N20" s="133"/>
      <c r="O20" s="136"/>
      <c r="P20" s="136"/>
      <c r="Q20" s="135"/>
    </row>
    <row r="21" spans="1:17" ht="11.25">
      <c r="A21" s="774"/>
      <c r="B21" s="134"/>
      <c r="C21" s="136"/>
      <c r="D21" s="136"/>
      <c r="E21" s="484">
        <f t="shared" si="2"/>
        <v>0</v>
      </c>
      <c r="F21" s="135"/>
      <c r="G21" s="135"/>
      <c r="H21" s="133">
        <f t="shared" si="3"/>
        <v>0</v>
      </c>
      <c r="I21" s="133">
        <f t="shared" si="4"/>
        <v>0</v>
      </c>
      <c r="J21" s="136"/>
      <c r="K21" s="133"/>
      <c r="L21" s="136"/>
      <c r="M21" s="136"/>
      <c r="N21" s="133"/>
      <c r="O21" s="136"/>
      <c r="P21" s="136"/>
      <c r="Q21" s="136"/>
    </row>
    <row r="22" spans="1:17" ht="40.5" customHeight="1">
      <c r="A22" s="259" t="s">
        <v>754</v>
      </c>
      <c r="B22" s="276" t="s">
        <v>752</v>
      </c>
      <c r="C22" s="783" t="s">
        <v>506</v>
      </c>
      <c r="D22" s="783"/>
      <c r="E22" s="783"/>
      <c r="F22" s="783"/>
      <c r="G22" s="783"/>
      <c r="H22" s="783"/>
      <c r="I22" s="783"/>
      <c r="J22" s="783"/>
      <c r="K22" s="783"/>
      <c r="L22" s="783"/>
      <c r="M22" s="783"/>
      <c r="N22" s="783"/>
      <c r="O22" s="783"/>
      <c r="P22" s="783"/>
      <c r="Q22" s="783"/>
    </row>
    <row r="23" spans="1:17" ht="17.25">
      <c r="A23" s="259"/>
      <c r="B23" s="134" t="s">
        <v>753</v>
      </c>
      <c r="C23" s="133"/>
      <c r="D23" s="234" t="s">
        <v>616</v>
      </c>
      <c r="E23" s="484">
        <f>SUM(E24:E30)-E25</f>
        <v>15639362</v>
      </c>
      <c r="F23" s="484">
        <f aca="true" t="shared" si="5" ref="F23:Q23">SUM(F24:F30)-F25</f>
        <v>6681652</v>
      </c>
      <c r="G23" s="484">
        <f t="shared" si="5"/>
        <v>8957710</v>
      </c>
      <c r="H23" s="484">
        <f t="shared" si="5"/>
        <v>15639362</v>
      </c>
      <c r="I23" s="484">
        <f t="shared" si="5"/>
        <v>6255745</v>
      </c>
      <c r="J23" s="484">
        <f t="shared" si="5"/>
        <v>0</v>
      </c>
      <c r="K23" s="484">
        <f t="shared" si="5"/>
        <v>0</v>
      </c>
      <c r="L23" s="484">
        <f t="shared" si="5"/>
        <v>6255745</v>
      </c>
      <c r="M23" s="484">
        <f t="shared" si="5"/>
        <v>9383617</v>
      </c>
      <c r="N23" s="484">
        <f t="shared" si="5"/>
        <v>0</v>
      </c>
      <c r="O23" s="484">
        <f t="shared" si="5"/>
        <v>0</v>
      </c>
      <c r="P23" s="484">
        <f t="shared" si="5"/>
        <v>0</v>
      </c>
      <c r="Q23" s="484">
        <f t="shared" si="5"/>
        <v>9383617</v>
      </c>
    </row>
    <row r="24" spans="1:17" ht="12.75">
      <c r="A24" s="259"/>
      <c r="B24" s="134" t="s">
        <v>191</v>
      </c>
      <c r="C24" s="133"/>
      <c r="D24" s="134"/>
      <c r="E24" s="140">
        <f aca="true" t="shared" si="6" ref="E24:E30">SUM(F24:G24)</f>
        <v>74041</v>
      </c>
      <c r="F24" s="135">
        <f>L24</f>
        <v>29616</v>
      </c>
      <c r="G24" s="135">
        <f>Q24</f>
        <v>44425</v>
      </c>
      <c r="H24" s="133">
        <f aca="true" t="shared" si="7" ref="H24:H30">I24+M24</f>
        <v>74041</v>
      </c>
      <c r="I24" s="133">
        <f aca="true" t="shared" si="8" ref="I24:I30">SUM(J24:L24)</f>
        <v>29616</v>
      </c>
      <c r="J24" s="133"/>
      <c r="K24" s="133"/>
      <c r="L24" s="135">
        <v>29616</v>
      </c>
      <c r="M24" s="133">
        <f aca="true" t="shared" si="9" ref="M24:M29">SUM(N24:Q24)</f>
        <v>44425</v>
      </c>
      <c r="N24" s="133"/>
      <c r="O24" s="133"/>
      <c r="P24" s="133"/>
      <c r="Q24" s="135">
        <v>44425</v>
      </c>
    </row>
    <row r="25" spans="1:17" s="390" customFormat="1" ht="23.25" customHeight="1">
      <c r="A25" s="384"/>
      <c r="B25" s="385">
        <v>2010</v>
      </c>
      <c r="C25" s="386"/>
      <c r="D25" s="386"/>
      <c r="E25" s="387">
        <f t="shared" si="6"/>
        <v>2129535</v>
      </c>
      <c r="F25" s="388">
        <f>F27</f>
        <v>1277721</v>
      </c>
      <c r="G25" s="388">
        <f>SUM(G26:G27)</f>
        <v>851814</v>
      </c>
      <c r="H25" s="389">
        <f t="shared" si="7"/>
        <v>2129535</v>
      </c>
      <c r="I25" s="389">
        <f t="shared" si="8"/>
        <v>851814</v>
      </c>
      <c r="J25" s="388">
        <f>SUM(J26:J27)</f>
        <v>0</v>
      </c>
      <c r="K25" s="388">
        <f>SUM(K26:K27)</f>
        <v>0</v>
      </c>
      <c r="L25" s="388">
        <f>SUM(L26:L27)</f>
        <v>851814</v>
      </c>
      <c r="M25" s="389">
        <f t="shared" si="9"/>
        <v>1277721</v>
      </c>
      <c r="N25" s="388">
        <f>SUM(N26:N27)</f>
        <v>0</v>
      </c>
      <c r="O25" s="388">
        <f>SUM(O26:O27)</f>
        <v>0</v>
      </c>
      <c r="P25" s="388">
        <f>SUM(P26:P27)</f>
        <v>0</v>
      </c>
      <c r="Q25" s="388">
        <f>SUM(Q26:Q27)</f>
        <v>1277721</v>
      </c>
    </row>
    <row r="26" spans="1:17" s="390" customFormat="1" ht="12.75">
      <c r="A26" s="384"/>
      <c r="B26" s="630"/>
      <c r="C26" s="386"/>
      <c r="D26" s="386"/>
      <c r="E26" s="387">
        <f t="shared" si="6"/>
        <v>851814</v>
      </c>
      <c r="F26" s="388"/>
      <c r="G26" s="388">
        <f>H26</f>
        <v>851814</v>
      </c>
      <c r="H26" s="389">
        <f t="shared" si="7"/>
        <v>851814</v>
      </c>
      <c r="I26" s="389">
        <f t="shared" si="8"/>
        <v>851814</v>
      </c>
      <c r="J26" s="388">
        <f>SUM(J27:J29)</f>
        <v>0</v>
      </c>
      <c r="K26" s="388">
        <f>SUM(K27:K29)</f>
        <v>0</v>
      </c>
      <c r="L26" s="391">
        <v>851814</v>
      </c>
      <c r="M26" s="389">
        <f t="shared" si="9"/>
        <v>0</v>
      </c>
      <c r="N26" s="388">
        <f>SUM(N27:N29)</f>
        <v>0</v>
      </c>
      <c r="O26" s="388">
        <f>SUM(O27:O29)</f>
        <v>0</v>
      </c>
      <c r="P26" s="388">
        <f>SUM(P27:P29)</f>
        <v>0</v>
      </c>
      <c r="Q26" s="391"/>
    </row>
    <row r="27" spans="1:17" s="390" customFormat="1" ht="12.75">
      <c r="A27" s="384"/>
      <c r="B27" s="385"/>
      <c r="C27" s="386"/>
      <c r="D27" s="386"/>
      <c r="E27" s="387">
        <f t="shared" si="6"/>
        <v>1277721</v>
      </c>
      <c r="F27" s="388">
        <f>H27</f>
        <v>1277721</v>
      </c>
      <c r="G27" s="388"/>
      <c r="H27" s="389">
        <f t="shared" si="7"/>
        <v>1277721</v>
      </c>
      <c r="I27" s="389">
        <f t="shared" si="8"/>
        <v>0</v>
      </c>
      <c r="J27" s="386"/>
      <c r="K27" s="386"/>
      <c r="L27" s="391"/>
      <c r="M27" s="389">
        <f t="shared" si="9"/>
        <v>1277721</v>
      </c>
      <c r="N27" s="386"/>
      <c r="O27" s="386"/>
      <c r="P27" s="386"/>
      <c r="Q27" s="391">
        <v>1277721</v>
      </c>
    </row>
    <row r="28" spans="1:17" s="390" customFormat="1" ht="12" customHeight="1">
      <c r="A28" s="384"/>
      <c r="B28" s="385">
        <v>2011</v>
      </c>
      <c r="C28" s="386"/>
      <c r="D28" s="386"/>
      <c r="E28" s="550">
        <f>SUM(F28:G28)</f>
        <v>6747829</v>
      </c>
      <c r="F28" s="388">
        <f>L28</f>
        <v>2699132</v>
      </c>
      <c r="G28" s="388">
        <f>M28</f>
        <v>4048697</v>
      </c>
      <c r="H28" s="389">
        <f>I28+M28</f>
        <v>6747829</v>
      </c>
      <c r="I28" s="389">
        <f>SUM(J28:L28)</f>
        <v>2699132</v>
      </c>
      <c r="J28" s="386"/>
      <c r="K28" s="386"/>
      <c r="L28" s="386">
        <v>2699132</v>
      </c>
      <c r="M28" s="389">
        <f t="shared" si="9"/>
        <v>4048697</v>
      </c>
      <c r="N28" s="386"/>
      <c r="O28" s="386"/>
      <c r="P28" s="386"/>
      <c r="Q28" s="386">
        <v>4048697</v>
      </c>
    </row>
    <row r="29" spans="1:17" s="390" customFormat="1" ht="12" customHeight="1">
      <c r="A29" s="384"/>
      <c r="B29" s="385">
        <v>2012</v>
      </c>
      <c r="C29" s="386"/>
      <c r="D29" s="386"/>
      <c r="E29" s="550">
        <f>SUM(F29:G29)</f>
        <v>6687957</v>
      </c>
      <c r="F29" s="388">
        <f>L29</f>
        <v>2675183</v>
      </c>
      <c r="G29" s="388">
        <f>M29</f>
        <v>4012774</v>
      </c>
      <c r="H29" s="389">
        <f t="shared" si="7"/>
        <v>6687957</v>
      </c>
      <c r="I29" s="389">
        <f t="shared" si="8"/>
        <v>2675183</v>
      </c>
      <c r="J29" s="386"/>
      <c r="K29" s="386"/>
      <c r="L29" s="386">
        <v>2675183</v>
      </c>
      <c r="M29" s="389">
        <f t="shared" si="9"/>
        <v>4012774</v>
      </c>
      <c r="N29" s="386"/>
      <c r="O29" s="386"/>
      <c r="P29" s="386"/>
      <c r="Q29" s="386">
        <v>4012774</v>
      </c>
    </row>
    <row r="30" spans="1:17" s="390" customFormat="1" ht="11.25">
      <c r="A30" s="384"/>
      <c r="B30" s="385"/>
      <c r="C30" s="386"/>
      <c r="D30" s="386"/>
      <c r="E30" s="550">
        <f t="shared" si="6"/>
        <v>0</v>
      </c>
      <c r="F30" s="388"/>
      <c r="G30" s="388"/>
      <c r="H30" s="389">
        <f t="shared" si="7"/>
        <v>0</v>
      </c>
      <c r="I30" s="389">
        <f t="shared" si="8"/>
        <v>0</v>
      </c>
      <c r="J30" s="386"/>
      <c r="K30" s="389"/>
      <c r="L30" s="386"/>
      <c r="M30" s="389"/>
      <c r="N30" s="389"/>
      <c r="O30" s="386"/>
      <c r="P30" s="386"/>
      <c r="Q30" s="386"/>
    </row>
    <row r="31" spans="1:17" ht="40.5" customHeight="1">
      <c r="A31" s="259"/>
      <c r="B31" s="276" t="s">
        <v>752</v>
      </c>
      <c r="C31" s="783" t="s">
        <v>508</v>
      </c>
      <c r="D31" s="783"/>
      <c r="E31" s="783"/>
      <c r="F31" s="783"/>
      <c r="G31" s="783"/>
      <c r="H31" s="783"/>
      <c r="I31" s="783"/>
      <c r="J31" s="783"/>
      <c r="K31" s="783"/>
      <c r="L31" s="783"/>
      <c r="M31" s="783"/>
      <c r="N31" s="783"/>
      <c r="O31" s="783"/>
      <c r="P31" s="783"/>
      <c r="Q31" s="783"/>
    </row>
    <row r="32" spans="1:17" ht="17.25">
      <c r="A32" s="259" t="s">
        <v>755</v>
      </c>
      <c r="B32" s="134" t="s">
        <v>753</v>
      </c>
      <c r="C32" s="133"/>
      <c r="D32" s="234" t="s">
        <v>616</v>
      </c>
      <c r="E32" s="484">
        <f>SUM(E33:E39)-E34</f>
        <v>6009242</v>
      </c>
      <c r="F32" s="484">
        <f aca="true" t="shared" si="10" ref="F32:Q32">SUM(F33:F39)-F34</f>
        <v>2576197</v>
      </c>
      <c r="G32" s="484">
        <f t="shared" si="10"/>
        <v>3433045</v>
      </c>
      <c r="H32" s="484">
        <f t="shared" si="10"/>
        <v>6009242</v>
      </c>
      <c r="I32" s="484">
        <f t="shared" si="10"/>
        <v>2403697</v>
      </c>
      <c r="J32" s="484">
        <f t="shared" si="10"/>
        <v>0</v>
      </c>
      <c r="K32" s="484">
        <f t="shared" si="10"/>
        <v>0</v>
      </c>
      <c r="L32" s="484">
        <f t="shared" si="10"/>
        <v>2403697</v>
      </c>
      <c r="M32" s="484">
        <f t="shared" si="10"/>
        <v>3605545</v>
      </c>
      <c r="N32" s="484">
        <f t="shared" si="10"/>
        <v>0</v>
      </c>
      <c r="O32" s="484">
        <f t="shared" si="10"/>
        <v>0</v>
      </c>
      <c r="P32" s="484">
        <f t="shared" si="10"/>
        <v>0</v>
      </c>
      <c r="Q32" s="484">
        <f t="shared" si="10"/>
        <v>3605545</v>
      </c>
    </row>
    <row r="33" spans="1:17" ht="12.75">
      <c r="A33" s="259"/>
      <c r="B33" s="134" t="s">
        <v>191</v>
      </c>
      <c r="C33" s="133"/>
      <c r="D33" s="134"/>
      <c r="E33" s="140">
        <f aca="true" t="shared" si="11" ref="E33:E38">SUM(F33:G33)</f>
        <v>33892</v>
      </c>
      <c r="F33" s="135">
        <f>L33</f>
        <v>13557</v>
      </c>
      <c r="G33" s="135">
        <f>Q33</f>
        <v>20335</v>
      </c>
      <c r="H33" s="133">
        <f aca="true" t="shared" si="12" ref="H33:H38">I33+M33</f>
        <v>33892</v>
      </c>
      <c r="I33" s="133">
        <f aca="true" t="shared" si="13" ref="I33:I38">SUM(J33:L33)</f>
        <v>13557</v>
      </c>
      <c r="J33" s="133"/>
      <c r="K33" s="133"/>
      <c r="L33" s="135">
        <v>13557</v>
      </c>
      <c r="M33" s="133">
        <f aca="true" t="shared" si="14" ref="M33:M38">SUM(N33:Q33)</f>
        <v>20335</v>
      </c>
      <c r="N33" s="133"/>
      <c r="O33" s="133"/>
      <c r="P33" s="133"/>
      <c r="Q33" s="135">
        <v>20335</v>
      </c>
    </row>
    <row r="34" spans="1:17" s="390" customFormat="1" ht="23.25" customHeight="1">
      <c r="A34" s="384"/>
      <c r="B34" s="385">
        <v>2010</v>
      </c>
      <c r="C34" s="386"/>
      <c r="D34" s="386"/>
      <c r="E34" s="387">
        <f t="shared" si="11"/>
        <v>862500</v>
      </c>
      <c r="F34" s="388">
        <f>F36</f>
        <v>517500</v>
      </c>
      <c r="G34" s="388">
        <f>SUM(G35:G36)</f>
        <v>345000</v>
      </c>
      <c r="H34" s="389">
        <f t="shared" si="12"/>
        <v>862500</v>
      </c>
      <c r="I34" s="389">
        <f t="shared" si="13"/>
        <v>345000</v>
      </c>
      <c r="J34" s="388">
        <f>SUM(J35:J36)</f>
        <v>0</v>
      </c>
      <c r="K34" s="388">
        <f>SUM(K35:K36)</f>
        <v>0</v>
      </c>
      <c r="L34" s="388">
        <f>SUM(L35:L36)</f>
        <v>345000</v>
      </c>
      <c r="M34" s="389">
        <f t="shared" si="14"/>
        <v>517500</v>
      </c>
      <c r="N34" s="388">
        <f>SUM(N35:N36)</f>
        <v>0</v>
      </c>
      <c r="O34" s="388">
        <f>SUM(O35:O36)</f>
        <v>0</v>
      </c>
      <c r="P34" s="388">
        <f>SUM(P35:P36)</f>
        <v>0</v>
      </c>
      <c r="Q34" s="388">
        <f>SUM(Q35:Q36)</f>
        <v>517500</v>
      </c>
    </row>
    <row r="35" spans="1:17" s="390" customFormat="1" ht="12.75">
      <c r="A35" s="384"/>
      <c r="B35" s="630"/>
      <c r="C35" s="386"/>
      <c r="D35" s="386"/>
      <c r="E35" s="387">
        <f t="shared" si="11"/>
        <v>345000</v>
      </c>
      <c r="F35" s="388"/>
      <c r="G35" s="388">
        <f>H35</f>
        <v>345000</v>
      </c>
      <c r="H35" s="389">
        <f t="shared" si="12"/>
        <v>345000</v>
      </c>
      <c r="I35" s="389">
        <f t="shared" si="13"/>
        <v>345000</v>
      </c>
      <c r="J35" s="388">
        <f>SUM(J36:J38)</f>
        <v>0</v>
      </c>
      <c r="K35" s="388">
        <f>SUM(K36:K38)</f>
        <v>0</v>
      </c>
      <c r="L35" s="391">
        <v>345000</v>
      </c>
      <c r="M35" s="389">
        <f t="shared" si="14"/>
        <v>0</v>
      </c>
      <c r="N35" s="388">
        <f>SUM(N36:N38)</f>
        <v>0</v>
      </c>
      <c r="O35" s="388">
        <f>SUM(O36:O38)</f>
        <v>0</v>
      </c>
      <c r="P35" s="388">
        <f>SUM(P36:P38)</f>
        <v>0</v>
      </c>
      <c r="Q35" s="391"/>
    </row>
    <row r="36" spans="1:17" s="390" customFormat="1" ht="12.75">
      <c r="A36" s="384"/>
      <c r="B36" s="385"/>
      <c r="C36" s="386"/>
      <c r="D36" s="386"/>
      <c r="E36" s="387">
        <f t="shared" si="11"/>
        <v>517500</v>
      </c>
      <c r="F36" s="388">
        <f>H36</f>
        <v>517500</v>
      </c>
      <c r="G36" s="388"/>
      <c r="H36" s="389">
        <f t="shared" si="12"/>
        <v>517500</v>
      </c>
      <c r="I36" s="389">
        <f t="shared" si="13"/>
        <v>0</v>
      </c>
      <c r="J36" s="386"/>
      <c r="K36" s="386"/>
      <c r="L36" s="391"/>
      <c r="M36" s="389">
        <f t="shared" si="14"/>
        <v>517500</v>
      </c>
      <c r="N36" s="386"/>
      <c r="O36" s="386"/>
      <c r="P36" s="386"/>
      <c r="Q36" s="391">
        <v>517500</v>
      </c>
    </row>
    <row r="37" spans="1:17" s="390" customFormat="1" ht="12" customHeight="1">
      <c r="A37" s="384"/>
      <c r="B37" s="385">
        <v>2011</v>
      </c>
      <c r="C37" s="386"/>
      <c r="D37" s="386"/>
      <c r="E37" s="550">
        <f t="shared" si="11"/>
        <v>5111803</v>
      </c>
      <c r="F37" s="388">
        <f>L37</f>
        <v>2044721</v>
      </c>
      <c r="G37" s="388">
        <f>M37</f>
        <v>3067082</v>
      </c>
      <c r="H37" s="389">
        <f t="shared" si="12"/>
        <v>5111803</v>
      </c>
      <c r="I37" s="389">
        <f t="shared" si="13"/>
        <v>2044721</v>
      </c>
      <c r="J37" s="386"/>
      <c r="K37" s="386"/>
      <c r="L37" s="386">
        <v>2044721</v>
      </c>
      <c r="M37" s="389">
        <f t="shared" si="14"/>
        <v>3067082</v>
      </c>
      <c r="N37" s="386"/>
      <c r="O37" s="386"/>
      <c r="P37" s="386"/>
      <c r="Q37" s="386">
        <v>3067082</v>
      </c>
    </row>
    <row r="38" spans="1:17" s="390" customFormat="1" ht="12" customHeight="1">
      <c r="A38" s="384"/>
      <c r="B38" s="385">
        <v>2012</v>
      </c>
      <c r="C38" s="386"/>
      <c r="D38" s="386"/>
      <c r="E38" s="550">
        <f t="shared" si="11"/>
        <v>1047</v>
      </c>
      <c r="F38" s="388">
        <f>L38</f>
        <v>419</v>
      </c>
      <c r="G38" s="388">
        <f>M38</f>
        <v>628</v>
      </c>
      <c r="H38" s="389">
        <f t="shared" si="12"/>
        <v>1047</v>
      </c>
      <c r="I38" s="389">
        <f t="shared" si="13"/>
        <v>419</v>
      </c>
      <c r="J38" s="386"/>
      <c r="K38" s="386"/>
      <c r="L38" s="386">
        <v>419</v>
      </c>
      <c r="M38" s="389">
        <f t="shared" si="14"/>
        <v>628</v>
      </c>
      <c r="N38" s="386"/>
      <c r="O38" s="386"/>
      <c r="P38" s="386"/>
      <c r="Q38" s="386">
        <v>628</v>
      </c>
    </row>
    <row r="39" spans="1:17" ht="40.5" customHeight="1">
      <c r="A39" s="259"/>
      <c r="B39" s="276" t="s">
        <v>752</v>
      </c>
      <c r="C39" s="783" t="s">
        <v>509</v>
      </c>
      <c r="D39" s="783"/>
      <c r="E39" s="783"/>
      <c r="F39" s="783"/>
      <c r="G39" s="783"/>
      <c r="H39" s="783"/>
      <c r="I39" s="783"/>
      <c r="J39" s="783"/>
      <c r="K39" s="783"/>
      <c r="L39" s="783"/>
      <c r="M39" s="783"/>
      <c r="N39" s="783"/>
      <c r="O39" s="783"/>
      <c r="P39" s="783"/>
      <c r="Q39" s="783"/>
    </row>
    <row r="40" spans="1:17" ht="17.25">
      <c r="A40" s="259" t="s">
        <v>794</v>
      </c>
      <c r="B40" s="134" t="s">
        <v>753</v>
      </c>
      <c r="C40" s="133"/>
      <c r="D40" s="234" t="s">
        <v>616</v>
      </c>
      <c r="E40" s="484">
        <f aca="true" t="shared" si="15" ref="E40:Q40">SUM(E41:E46)-E42</f>
        <v>8348048</v>
      </c>
      <c r="F40" s="484">
        <f t="shared" si="15"/>
        <v>5027551</v>
      </c>
      <c r="G40" s="484">
        <f t="shared" si="15"/>
        <v>3320497</v>
      </c>
      <c r="H40" s="484">
        <f t="shared" si="15"/>
        <v>8348048</v>
      </c>
      <c r="I40" s="484">
        <f t="shared" si="15"/>
        <v>3339219</v>
      </c>
      <c r="J40" s="484">
        <f t="shared" si="15"/>
        <v>0</v>
      </c>
      <c r="K40" s="484">
        <f t="shared" si="15"/>
        <v>0</v>
      </c>
      <c r="L40" s="484">
        <f t="shared" si="15"/>
        <v>3339219</v>
      </c>
      <c r="M40" s="484">
        <f t="shared" si="15"/>
        <v>5008829</v>
      </c>
      <c r="N40" s="484">
        <f t="shared" si="15"/>
        <v>0</v>
      </c>
      <c r="O40" s="484">
        <f t="shared" si="15"/>
        <v>0</v>
      </c>
      <c r="P40" s="484">
        <f t="shared" si="15"/>
        <v>0</v>
      </c>
      <c r="Q40" s="484">
        <f t="shared" si="15"/>
        <v>5008829</v>
      </c>
    </row>
    <row r="41" spans="1:17" ht="12.75">
      <c r="A41" s="259"/>
      <c r="B41" s="134" t="s">
        <v>191</v>
      </c>
      <c r="C41" s="133"/>
      <c r="D41" s="134"/>
      <c r="E41" s="140">
        <f aca="true" t="shared" si="16" ref="E41:E46">SUM(F41:G41)</f>
        <v>373766</v>
      </c>
      <c r="F41" s="135">
        <f>L41</f>
        <v>149506</v>
      </c>
      <c r="G41" s="135">
        <f>Q41</f>
        <v>224260</v>
      </c>
      <c r="H41" s="133">
        <f aca="true" t="shared" si="17" ref="H41:H46">I41+M41</f>
        <v>373766</v>
      </c>
      <c r="I41" s="133">
        <f aca="true" t="shared" si="18" ref="I41:I46">SUM(J41:L41)</f>
        <v>149506</v>
      </c>
      <c r="J41" s="133"/>
      <c r="K41" s="133"/>
      <c r="L41" s="135">
        <v>149506</v>
      </c>
      <c r="M41" s="133">
        <f aca="true" t="shared" si="19" ref="M41:M46">SUM(N41:Q41)</f>
        <v>224260</v>
      </c>
      <c r="N41" s="133"/>
      <c r="O41" s="133"/>
      <c r="P41" s="133"/>
      <c r="Q41" s="135">
        <v>224260</v>
      </c>
    </row>
    <row r="42" spans="1:17" s="390" customFormat="1" ht="23.25" customHeight="1">
      <c r="A42" s="384"/>
      <c r="B42" s="385">
        <v>2010</v>
      </c>
      <c r="C42" s="386"/>
      <c r="D42" s="386"/>
      <c r="E42" s="387">
        <f t="shared" si="16"/>
        <v>2453354</v>
      </c>
      <c r="F42" s="388">
        <f>F44</f>
        <v>2070843</v>
      </c>
      <c r="G42" s="388">
        <f>SUM(G43:G44)</f>
        <v>382511</v>
      </c>
      <c r="H42" s="389">
        <f t="shared" si="17"/>
        <v>2453354</v>
      </c>
      <c r="I42" s="389">
        <f t="shared" si="18"/>
        <v>382511</v>
      </c>
      <c r="J42" s="388">
        <f>SUM(J43:J44)</f>
        <v>0</v>
      </c>
      <c r="K42" s="388">
        <f>SUM(K43:K44)</f>
        <v>0</v>
      </c>
      <c r="L42" s="388">
        <f>SUM(L43:L44)</f>
        <v>382511</v>
      </c>
      <c r="M42" s="389">
        <f t="shared" si="19"/>
        <v>2070843</v>
      </c>
      <c r="N42" s="388">
        <f>SUM(N43:N44)</f>
        <v>0</v>
      </c>
      <c r="O42" s="388">
        <f>SUM(O43:O44)</f>
        <v>0</v>
      </c>
      <c r="P42" s="388">
        <f>SUM(P43:P44)</f>
        <v>0</v>
      </c>
      <c r="Q42" s="388">
        <f>SUM(Q43:Q44)</f>
        <v>2070843</v>
      </c>
    </row>
    <row r="43" spans="1:17" s="390" customFormat="1" ht="67.5">
      <c r="A43" s="384"/>
      <c r="B43" s="630" t="s">
        <v>507</v>
      </c>
      <c r="C43" s="386"/>
      <c r="D43" s="386">
        <v>6058</v>
      </c>
      <c r="E43" s="387">
        <f t="shared" si="16"/>
        <v>382511</v>
      </c>
      <c r="F43" s="388"/>
      <c r="G43" s="388">
        <f>H43</f>
        <v>382511</v>
      </c>
      <c r="H43" s="389">
        <f t="shared" si="17"/>
        <v>382511</v>
      </c>
      <c r="I43" s="389">
        <f t="shared" si="18"/>
        <v>382511</v>
      </c>
      <c r="J43" s="388">
        <f>SUM(J44:J46)</f>
        <v>0</v>
      </c>
      <c r="K43" s="388">
        <f>SUM(K44:K46)</f>
        <v>0</v>
      </c>
      <c r="L43" s="391">
        <f>224260+6586+151665</f>
        <v>382511</v>
      </c>
      <c r="M43" s="389">
        <f t="shared" si="19"/>
        <v>0</v>
      </c>
      <c r="N43" s="388">
        <f>SUM(N44:N46)</f>
        <v>0</v>
      </c>
      <c r="O43" s="388">
        <f>SUM(O44:O46)</f>
        <v>0</v>
      </c>
      <c r="P43" s="388">
        <f>SUM(P44:P46)</f>
        <v>0</v>
      </c>
      <c r="Q43" s="391"/>
    </row>
    <row r="44" spans="1:17" s="390" customFormat="1" ht="12.75">
      <c r="A44" s="384"/>
      <c r="B44" s="385"/>
      <c r="C44" s="386"/>
      <c r="D44" s="386">
        <v>6059</v>
      </c>
      <c r="E44" s="387">
        <f t="shared" si="16"/>
        <v>2070843</v>
      </c>
      <c r="F44" s="388">
        <f>H44</f>
        <v>2070843</v>
      </c>
      <c r="G44" s="388"/>
      <c r="H44" s="389">
        <f t="shared" si="17"/>
        <v>2070843</v>
      </c>
      <c r="I44" s="389">
        <f t="shared" si="18"/>
        <v>0</v>
      </c>
      <c r="J44" s="386"/>
      <c r="K44" s="386"/>
      <c r="L44" s="391"/>
      <c r="M44" s="389">
        <f t="shared" si="19"/>
        <v>2070843</v>
      </c>
      <c r="N44" s="386"/>
      <c r="O44" s="386"/>
      <c r="P44" s="386"/>
      <c r="Q44" s="391">
        <v>2070843</v>
      </c>
    </row>
    <row r="45" spans="1:17" s="390" customFormat="1" ht="12" customHeight="1">
      <c r="A45" s="384"/>
      <c r="B45" s="385">
        <v>2011</v>
      </c>
      <c r="C45" s="386"/>
      <c r="D45" s="386"/>
      <c r="E45" s="550">
        <f t="shared" si="16"/>
        <v>5520928</v>
      </c>
      <c r="F45" s="388">
        <f>L45</f>
        <v>2807202</v>
      </c>
      <c r="G45" s="388">
        <f>M45</f>
        <v>2713726</v>
      </c>
      <c r="H45" s="389">
        <f t="shared" si="17"/>
        <v>5520928</v>
      </c>
      <c r="I45" s="389">
        <f t="shared" si="18"/>
        <v>2807202</v>
      </c>
      <c r="J45" s="386"/>
      <c r="K45" s="386"/>
      <c r="L45" s="386">
        <f>1659083+175902+538158+434059</f>
        <v>2807202</v>
      </c>
      <c r="M45" s="389">
        <f t="shared" si="19"/>
        <v>2713726</v>
      </c>
      <c r="N45" s="386"/>
      <c r="O45" s="386"/>
      <c r="P45" s="386"/>
      <c r="Q45" s="386">
        <v>2713726</v>
      </c>
    </row>
    <row r="46" spans="1:17" s="390" customFormat="1" ht="12" customHeight="1">
      <c r="A46" s="384"/>
      <c r="B46" s="385">
        <v>2012</v>
      </c>
      <c r="C46" s="386"/>
      <c r="D46" s="386"/>
      <c r="E46" s="550">
        <f t="shared" si="16"/>
        <v>0</v>
      </c>
      <c r="F46" s="388">
        <f>L46</f>
        <v>0</v>
      </c>
      <c r="G46" s="388">
        <f>M46</f>
        <v>0</v>
      </c>
      <c r="H46" s="389">
        <f t="shared" si="17"/>
        <v>0</v>
      </c>
      <c r="I46" s="389">
        <f t="shared" si="18"/>
        <v>0</v>
      </c>
      <c r="J46" s="386"/>
      <c r="K46" s="386"/>
      <c r="L46" s="386"/>
      <c r="M46" s="389">
        <f t="shared" si="19"/>
        <v>0</v>
      </c>
      <c r="N46" s="386"/>
      <c r="O46" s="386"/>
      <c r="P46" s="386"/>
      <c r="Q46" s="386"/>
    </row>
    <row r="47" spans="1:18" ht="40.5" customHeight="1">
      <c r="A47" s="259"/>
      <c r="B47" s="276" t="s">
        <v>752</v>
      </c>
      <c r="C47" s="796" t="s">
        <v>515</v>
      </c>
      <c r="D47" s="797"/>
      <c r="E47" s="797"/>
      <c r="F47" s="797"/>
      <c r="G47" s="797"/>
      <c r="H47" s="797"/>
      <c r="I47" s="797"/>
      <c r="J47" s="797"/>
      <c r="K47" s="797"/>
      <c r="L47" s="797"/>
      <c r="M47" s="797"/>
      <c r="N47" s="797"/>
      <c r="O47" s="797"/>
      <c r="P47" s="797"/>
      <c r="Q47" s="798"/>
      <c r="R47" s="634"/>
    </row>
    <row r="48" spans="1:17" ht="17.25">
      <c r="A48" s="259" t="s">
        <v>795</v>
      </c>
      <c r="B48" s="134" t="s">
        <v>753</v>
      </c>
      <c r="C48" s="133"/>
      <c r="D48" s="234" t="s">
        <v>616</v>
      </c>
      <c r="E48" s="484">
        <f aca="true" t="shared" si="20" ref="E48:Q48">SUM(E49:E54)-E50</f>
        <v>3815689</v>
      </c>
      <c r="F48" s="484">
        <f t="shared" si="20"/>
        <v>2095527</v>
      </c>
      <c r="G48" s="484">
        <f t="shared" si="20"/>
        <v>1720162</v>
      </c>
      <c r="H48" s="484">
        <f t="shared" si="20"/>
        <v>3815689</v>
      </c>
      <c r="I48" s="484">
        <f t="shared" si="20"/>
        <v>2134689</v>
      </c>
      <c r="J48" s="484">
        <f t="shared" si="20"/>
        <v>0</v>
      </c>
      <c r="K48" s="484">
        <f t="shared" si="20"/>
        <v>0</v>
      </c>
      <c r="L48" s="484">
        <f t="shared" si="20"/>
        <v>2134689</v>
      </c>
      <c r="M48" s="484">
        <f t="shared" si="20"/>
        <v>1681000</v>
      </c>
      <c r="N48" s="484">
        <f t="shared" si="20"/>
        <v>0</v>
      </c>
      <c r="O48" s="484">
        <f t="shared" si="20"/>
        <v>0</v>
      </c>
      <c r="P48" s="484">
        <f t="shared" si="20"/>
        <v>0</v>
      </c>
      <c r="Q48" s="484">
        <f t="shared" si="20"/>
        <v>1681000</v>
      </c>
    </row>
    <row r="49" spans="1:17" ht="12.75">
      <c r="A49" s="259"/>
      <c r="B49" s="134" t="s">
        <v>191</v>
      </c>
      <c r="C49" s="133"/>
      <c r="D49" s="134"/>
      <c r="E49" s="140">
        <f aca="true" t="shared" si="21" ref="E49:E54">SUM(F49:G49)</f>
        <v>0</v>
      </c>
      <c r="F49" s="135">
        <f>L49</f>
        <v>0</v>
      </c>
      <c r="G49" s="135">
        <f>Q49</f>
        <v>0</v>
      </c>
      <c r="H49" s="133">
        <f aca="true" t="shared" si="22" ref="H49:H54">I49+M49</f>
        <v>0</v>
      </c>
      <c r="I49" s="133">
        <f aca="true" t="shared" si="23" ref="I49:I54">SUM(J49:L49)</f>
        <v>0</v>
      </c>
      <c r="J49" s="133"/>
      <c r="K49" s="133"/>
      <c r="L49" s="135"/>
      <c r="M49" s="133">
        <f aca="true" t="shared" si="24" ref="M49:M54">SUM(N49:Q49)</f>
        <v>0</v>
      </c>
      <c r="N49" s="133"/>
      <c r="O49" s="133"/>
      <c r="P49" s="133"/>
      <c r="Q49" s="135"/>
    </row>
    <row r="50" spans="1:17" s="390" customFormat="1" ht="23.25" customHeight="1">
      <c r="A50" s="384"/>
      <c r="B50" s="385">
        <v>2010</v>
      </c>
      <c r="C50" s="386"/>
      <c r="D50" s="386"/>
      <c r="E50" s="387">
        <f t="shared" si="21"/>
        <v>39162</v>
      </c>
      <c r="F50" s="388">
        <f>F52</f>
        <v>0</v>
      </c>
      <c r="G50" s="388">
        <f>SUM(G51:G52)</f>
        <v>39162</v>
      </c>
      <c r="H50" s="389">
        <f t="shared" si="22"/>
        <v>39162</v>
      </c>
      <c r="I50" s="389">
        <f t="shared" si="23"/>
        <v>39162</v>
      </c>
      <c r="J50" s="388">
        <f>SUM(J51:J52)</f>
        <v>0</v>
      </c>
      <c r="K50" s="388">
        <f>SUM(K51:K52)</f>
        <v>0</v>
      </c>
      <c r="L50" s="388">
        <f>SUM(L51:L52)</f>
        <v>39162</v>
      </c>
      <c r="M50" s="389">
        <f t="shared" si="24"/>
        <v>0</v>
      </c>
      <c r="N50" s="388">
        <f>SUM(N51:N52)</f>
        <v>0</v>
      </c>
      <c r="O50" s="388">
        <f>SUM(O51:O52)</f>
        <v>0</v>
      </c>
      <c r="P50" s="388">
        <f>SUM(P51:P52)</f>
        <v>0</v>
      </c>
      <c r="Q50" s="388"/>
    </row>
    <row r="51" spans="1:17" s="390" customFormat="1" ht="12.75">
      <c r="A51" s="384"/>
      <c r="B51" s="630"/>
      <c r="C51" s="386"/>
      <c r="D51" s="386"/>
      <c r="E51" s="387">
        <f t="shared" si="21"/>
        <v>39162</v>
      </c>
      <c r="F51" s="388"/>
      <c r="G51" s="388">
        <f>H51</f>
        <v>39162</v>
      </c>
      <c r="H51" s="389">
        <f t="shared" si="22"/>
        <v>39162</v>
      </c>
      <c r="I51" s="389">
        <f t="shared" si="23"/>
        <v>39162</v>
      </c>
      <c r="J51" s="388">
        <f>SUM(J52:J54)</f>
        <v>0</v>
      </c>
      <c r="K51" s="388">
        <f>SUM(K52:K54)</f>
        <v>0</v>
      </c>
      <c r="L51" s="391">
        <v>39162</v>
      </c>
      <c r="M51" s="389">
        <f t="shared" si="24"/>
        <v>0</v>
      </c>
      <c r="N51" s="388">
        <f>SUM(N52:N54)</f>
        <v>0</v>
      </c>
      <c r="O51" s="388">
        <f>SUM(O52:O54)</f>
        <v>0</v>
      </c>
      <c r="P51" s="388">
        <f>SUM(P52:P54)</f>
        <v>0</v>
      </c>
      <c r="Q51" s="391"/>
    </row>
    <row r="52" spans="1:17" s="390" customFormat="1" ht="12.75">
      <c r="A52" s="384"/>
      <c r="B52" s="385"/>
      <c r="C52" s="386"/>
      <c r="D52" s="386"/>
      <c r="E52" s="387">
        <f t="shared" si="21"/>
        <v>0</v>
      </c>
      <c r="F52" s="388">
        <f>H52</f>
        <v>0</v>
      </c>
      <c r="G52" s="388"/>
      <c r="H52" s="389">
        <f t="shared" si="22"/>
        <v>0</v>
      </c>
      <c r="I52" s="389">
        <f t="shared" si="23"/>
        <v>0</v>
      </c>
      <c r="J52" s="386"/>
      <c r="K52" s="386"/>
      <c r="L52" s="391"/>
      <c r="M52" s="389">
        <f t="shared" si="24"/>
        <v>0</v>
      </c>
      <c r="N52" s="386"/>
      <c r="O52" s="386"/>
      <c r="P52" s="386"/>
      <c r="Q52" s="391"/>
    </row>
    <row r="53" spans="1:17" s="390" customFormat="1" ht="12" customHeight="1">
      <c r="A53" s="384"/>
      <c r="B53" s="385">
        <v>2011</v>
      </c>
      <c r="C53" s="386"/>
      <c r="D53" s="386"/>
      <c r="E53" s="550">
        <f t="shared" si="21"/>
        <v>3776527</v>
      </c>
      <c r="F53" s="388">
        <f>L53</f>
        <v>2095527</v>
      </c>
      <c r="G53" s="388">
        <f>M53</f>
        <v>1681000</v>
      </c>
      <c r="H53" s="389">
        <f t="shared" si="22"/>
        <v>3776527</v>
      </c>
      <c r="I53" s="389">
        <f t="shared" si="23"/>
        <v>2095527</v>
      </c>
      <c r="J53" s="386"/>
      <c r="K53" s="386"/>
      <c r="L53" s="386">
        <v>2095527</v>
      </c>
      <c r="M53" s="389">
        <f t="shared" si="24"/>
        <v>1681000</v>
      </c>
      <c r="N53" s="386"/>
      <c r="O53" s="386"/>
      <c r="P53" s="386"/>
      <c r="Q53" s="386">
        <v>1681000</v>
      </c>
    </row>
    <row r="54" spans="1:17" s="390" customFormat="1" ht="12" customHeight="1">
      <c r="A54" s="384"/>
      <c r="B54" s="385">
        <v>2012</v>
      </c>
      <c r="C54" s="386"/>
      <c r="D54" s="386"/>
      <c r="E54" s="550">
        <f t="shared" si="21"/>
        <v>0</v>
      </c>
      <c r="F54" s="388">
        <f>L54</f>
        <v>0</v>
      </c>
      <c r="G54" s="388">
        <f>M54</f>
        <v>0</v>
      </c>
      <c r="H54" s="389">
        <f t="shared" si="22"/>
        <v>0</v>
      </c>
      <c r="I54" s="389">
        <f t="shared" si="23"/>
        <v>0</v>
      </c>
      <c r="J54" s="386"/>
      <c r="K54" s="386"/>
      <c r="L54" s="386"/>
      <c r="M54" s="389">
        <f t="shared" si="24"/>
        <v>0</v>
      </c>
      <c r="N54" s="386"/>
      <c r="O54" s="386"/>
      <c r="P54" s="386"/>
      <c r="Q54" s="386"/>
    </row>
    <row r="55" spans="1:18" ht="40.5" customHeight="1">
      <c r="A55" s="259"/>
      <c r="B55" s="276" t="s">
        <v>752</v>
      </c>
      <c r="C55" s="796" t="s">
        <v>516</v>
      </c>
      <c r="D55" s="797"/>
      <c r="E55" s="797"/>
      <c r="F55" s="797"/>
      <c r="G55" s="797"/>
      <c r="H55" s="797"/>
      <c r="I55" s="797"/>
      <c r="J55" s="797"/>
      <c r="K55" s="797"/>
      <c r="L55" s="797"/>
      <c r="M55" s="797"/>
      <c r="N55" s="797"/>
      <c r="O55" s="797"/>
      <c r="P55" s="797"/>
      <c r="Q55" s="798"/>
      <c r="R55" s="635"/>
    </row>
    <row r="56" spans="1:18" ht="18">
      <c r="A56" s="259" t="s">
        <v>22</v>
      </c>
      <c r="B56" s="134" t="s">
        <v>753</v>
      </c>
      <c r="C56" s="133"/>
      <c r="D56" s="234" t="s">
        <v>616</v>
      </c>
      <c r="E56" s="484">
        <f aca="true" t="shared" si="25" ref="E56:Q56">SUM(E57:E62)-E58</f>
        <v>3071714</v>
      </c>
      <c r="F56" s="484">
        <f t="shared" si="25"/>
        <v>1075100</v>
      </c>
      <c r="G56" s="484">
        <f t="shared" si="25"/>
        <v>1996614</v>
      </c>
      <c r="H56" s="484">
        <f t="shared" si="25"/>
        <v>3071714</v>
      </c>
      <c r="I56" s="484">
        <f t="shared" si="25"/>
        <v>44800</v>
      </c>
      <c r="J56" s="484">
        <f t="shared" si="25"/>
        <v>0</v>
      </c>
      <c r="K56" s="484">
        <f t="shared" si="25"/>
        <v>0</v>
      </c>
      <c r="L56" s="484">
        <f t="shared" si="25"/>
        <v>44800</v>
      </c>
      <c r="M56" s="484">
        <f t="shared" si="25"/>
        <v>1996614</v>
      </c>
      <c r="N56" s="484">
        <f t="shared" si="25"/>
        <v>0</v>
      </c>
      <c r="O56" s="484">
        <f t="shared" si="25"/>
        <v>0</v>
      </c>
      <c r="P56" s="484">
        <f t="shared" si="25"/>
        <v>0</v>
      </c>
      <c r="Q56" s="484">
        <f t="shared" si="25"/>
        <v>1996614</v>
      </c>
      <c r="R56" s="635"/>
    </row>
    <row r="57" spans="1:18" ht="15">
      <c r="A57" s="259"/>
      <c r="B57" s="134" t="s">
        <v>191</v>
      </c>
      <c r="C57" s="133"/>
      <c r="D57" s="134"/>
      <c r="E57" s="140">
        <f aca="true" t="shared" si="26" ref="E57:E62">SUM(F57:G57)</f>
        <v>44800</v>
      </c>
      <c r="F57" s="135">
        <f>L57</f>
        <v>44800</v>
      </c>
      <c r="G57" s="135">
        <f>Q57</f>
        <v>0</v>
      </c>
      <c r="H57" s="133">
        <f aca="true" t="shared" si="27" ref="H57:H62">I57+M57</f>
        <v>44800</v>
      </c>
      <c r="I57" s="133">
        <f aca="true" t="shared" si="28" ref="I57:I62">SUM(J57:L57)</f>
        <v>44800</v>
      </c>
      <c r="J57" s="133"/>
      <c r="K57" s="133"/>
      <c r="L57" s="135">
        <v>44800</v>
      </c>
      <c r="M57" s="133">
        <f aca="true" t="shared" si="29" ref="M57:M62">SUM(N57:Q57)</f>
        <v>0</v>
      </c>
      <c r="N57" s="133"/>
      <c r="O57" s="133"/>
      <c r="P57" s="133"/>
      <c r="Q57" s="135"/>
      <c r="R57" s="635"/>
    </row>
    <row r="58" spans="1:17" s="390" customFormat="1" ht="23.25" customHeight="1">
      <c r="A58" s="384"/>
      <c r="B58" s="385">
        <v>2010</v>
      </c>
      <c r="C58" s="386"/>
      <c r="D58" s="386"/>
      <c r="E58" s="387">
        <f t="shared" si="26"/>
        <v>3026914</v>
      </c>
      <c r="F58" s="388">
        <f>F60</f>
        <v>1030300</v>
      </c>
      <c r="G58" s="388">
        <f>SUM(G59:G60)</f>
        <v>1996614</v>
      </c>
      <c r="H58" s="389">
        <f t="shared" si="27"/>
        <v>0</v>
      </c>
      <c r="I58" s="389">
        <f t="shared" si="28"/>
        <v>0</v>
      </c>
      <c r="J58" s="388">
        <f>SUM(J59:J60)</f>
        <v>0</v>
      </c>
      <c r="K58" s="388">
        <f>SUM(K59:K60)</f>
        <v>0</v>
      </c>
      <c r="L58" s="388">
        <f>SUM(L59:L60)</f>
        <v>0</v>
      </c>
      <c r="M58" s="389">
        <f t="shared" si="29"/>
        <v>0</v>
      </c>
      <c r="N58" s="388">
        <f>SUM(N59:N60)</f>
        <v>0</v>
      </c>
      <c r="O58" s="388">
        <f>SUM(O59:O60)</f>
        <v>0</v>
      </c>
      <c r="P58" s="388">
        <f>SUM(P59:P60)</f>
        <v>0</v>
      </c>
      <c r="Q58" s="388"/>
    </row>
    <row r="59" spans="1:17" s="390" customFormat="1" ht="12.75">
      <c r="A59" s="384"/>
      <c r="B59" s="630"/>
      <c r="C59" s="386"/>
      <c r="D59" s="386"/>
      <c r="E59" s="387">
        <f t="shared" si="26"/>
        <v>1996614</v>
      </c>
      <c r="F59" s="388"/>
      <c r="G59" s="388">
        <f>H59</f>
        <v>1996614</v>
      </c>
      <c r="H59" s="389">
        <f t="shared" si="27"/>
        <v>1996614</v>
      </c>
      <c r="I59" s="389">
        <f t="shared" si="28"/>
        <v>0</v>
      </c>
      <c r="J59" s="388">
        <f>SUM(J60:J62)</f>
        <v>0</v>
      </c>
      <c r="K59" s="388">
        <f>SUM(K60:K62)</f>
        <v>0</v>
      </c>
      <c r="L59" s="391"/>
      <c r="M59" s="389">
        <f t="shared" si="29"/>
        <v>1996614</v>
      </c>
      <c r="N59" s="388">
        <f>SUM(N60:N62)</f>
        <v>0</v>
      </c>
      <c r="O59" s="388">
        <f>SUM(O60:O62)</f>
        <v>0</v>
      </c>
      <c r="P59" s="388">
        <f>SUM(P60:P62)</f>
        <v>0</v>
      </c>
      <c r="Q59" s="388">
        <v>1996614</v>
      </c>
    </row>
    <row r="60" spans="1:17" s="390" customFormat="1" ht="12.75">
      <c r="A60" s="384"/>
      <c r="B60" s="385"/>
      <c r="C60" s="386"/>
      <c r="D60" s="386"/>
      <c r="E60" s="387">
        <f t="shared" si="26"/>
        <v>1030300</v>
      </c>
      <c r="F60" s="388">
        <f>H60</f>
        <v>1030300</v>
      </c>
      <c r="G60" s="388"/>
      <c r="H60" s="389">
        <v>1030300</v>
      </c>
      <c r="I60" s="389">
        <f t="shared" si="28"/>
        <v>0</v>
      </c>
      <c r="J60" s="386"/>
      <c r="K60" s="386"/>
      <c r="L60" s="391"/>
      <c r="M60" s="389">
        <f t="shared" si="29"/>
        <v>0</v>
      </c>
      <c r="N60" s="386"/>
      <c r="O60" s="386"/>
      <c r="P60" s="386"/>
      <c r="Q60" s="391"/>
    </row>
    <row r="61" spans="1:17" s="390" customFormat="1" ht="12" customHeight="1">
      <c r="A61" s="384"/>
      <c r="B61" s="385">
        <v>2011</v>
      </c>
      <c r="C61" s="386"/>
      <c r="D61" s="386"/>
      <c r="E61" s="550">
        <f t="shared" si="26"/>
        <v>0</v>
      </c>
      <c r="F61" s="388">
        <f>L61</f>
        <v>0</v>
      </c>
      <c r="G61" s="388">
        <f>M61</f>
        <v>0</v>
      </c>
      <c r="H61" s="389">
        <f t="shared" si="27"/>
        <v>0</v>
      </c>
      <c r="I61" s="389">
        <f t="shared" si="28"/>
        <v>0</v>
      </c>
      <c r="J61" s="386"/>
      <c r="K61" s="386"/>
      <c r="L61" s="386"/>
      <c r="M61" s="389">
        <f t="shared" si="29"/>
        <v>0</v>
      </c>
      <c r="N61" s="386"/>
      <c r="O61" s="386"/>
      <c r="P61" s="386"/>
      <c r="Q61" s="386"/>
    </row>
    <row r="62" spans="1:17" s="390" customFormat="1" ht="12" customHeight="1">
      <c r="A62" s="384"/>
      <c r="B62" s="385">
        <v>2012</v>
      </c>
      <c r="C62" s="386"/>
      <c r="D62" s="386"/>
      <c r="E62" s="550">
        <f t="shared" si="26"/>
        <v>0</v>
      </c>
      <c r="F62" s="388">
        <f>L62</f>
        <v>0</v>
      </c>
      <c r="G62" s="388">
        <f>M62</f>
        <v>0</v>
      </c>
      <c r="H62" s="389">
        <f t="shared" si="27"/>
        <v>0</v>
      </c>
      <c r="I62" s="389">
        <f t="shared" si="28"/>
        <v>0</v>
      </c>
      <c r="J62" s="386"/>
      <c r="K62" s="386"/>
      <c r="L62" s="386"/>
      <c r="M62" s="389">
        <f t="shared" si="29"/>
        <v>0</v>
      </c>
      <c r="N62" s="386"/>
      <c r="O62" s="386"/>
      <c r="P62" s="386"/>
      <c r="Q62" s="386"/>
    </row>
    <row r="63" spans="1:18" ht="40.5" customHeight="1">
      <c r="A63" s="259"/>
      <c r="B63" s="276" t="s">
        <v>752</v>
      </c>
      <c r="C63" s="796" t="s">
        <v>517</v>
      </c>
      <c r="D63" s="797"/>
      <c r="E63" s="797"/>
      <c r="F63" s="797"/>
      <c r="G63" s="797"/>
      <c r="H63" s="797"/>
      <c r="I63" s="797"/>
      <c r="J63" s="797"/>
      <c r="K63" s="797"/>
      <c r="L63" s="797"/>
      <c r="M63" s="797"/>
      <c r="N63" s="797"/>
      <c r="O63" s="797"/>
      <c r="P63" s="797"/>
      <c r="Q63" s="798"/>
      <c r="R63" s="635"/>
    </row>
    <row r="64" spans="1:18" ht="18">
      <c r="A64" s="259" t="s">
        <v>533</v>
      </c>
      <c r="B64" s="134" t="s">
        <v>753</v>
      </c>
      <c r="C64" s="133"/>
      <c r="D64" s="234" t="s">
        <v>616</v>
      </c>
      <c r="E64" s="484">
        <f aca="true" t="shared" si="30" ref="E64:Q64">SUM(E65:E70)-E66</f>
        <v>653822</v>
      </c>
      <c r="F64" s="484">
        <f t="shared" si="30"/>
        <v>118438</v>
      </c>
      <c r="G64" s="484">
        <f t="shared" si="30"/>
        <v>535384</v>
      </c>
      <c r="H64" s="484">
        <f t="shared" si="30"/>
        <v>653822</v>
      </c>
      <c r="I64" s="484">
        <f t="shared" si="30"/>
        <v>163456</v>
      </c>
      <c r="J64" s="484">
        <f t="shared" si="30"/>
        <v>0</v>
      </c>
      <c r="K64" s="484">
        <f t="shared" si="30"/>
        <v>0</v>
      </c>
      <c r="L64" s="484">
        <f t="shared" si="30"/>
        <v>163456</v>
      </c>
      <c r="M64" s="484">
        <f t="shared" si="30"/>
        <v>490366</v>
      </c>
      <c r="N64" s="484">
        <f t="shared" si="30"/>
        <v>0</v>
      </c>
      <c r="O64" s="484">
        <f t="shared" si="30"/>
        <v>0</v>
      </c>
      <c r="P64" s="484">
        <f t="shared" si="30"/>
        <v>0</v>
      </c>
      <c r="Q64" s="484">
        <f t="shared" si="30"/>
        <v>490366</v>
      </c>
      <c r="R64" s="635"/>
    </row>
    <row r="65" spans="1:18" ht="15">
      <c r="A65" s="259"/>
      <c r="B65" s="134" t="s">
        <v>191</v>
      </c>
      <c r="C65" s="133"/>
      <c r="D65" s="134"/>
      <c r="E65" s="140">
        <f aca="true" t="shared" si="31" ref="E65:E70">SUM(F65:G65)</f>
        <v>0</v>
      </c>
      <c r="F65" s="135">
        <f>L65</f>
        <v>0</v>
      </c>
      <c r="G65" s="135">
        <f>Q65</f>
        <v>0</v>
      </c>
      <c r="H65" s="133">
        <f>I65+M65</f>
        <v>0</v>
      </c>
      <c r="I65" s="133">
        <f aca="true" t="shared" si="32" ref="I65:I70">SUM(J65:L65)</f>
        <v>0</v>
      </c>
      <c r="J65" s="133"/>
      <c r="K65" s="133"/>
      <c r="L65" s="135"/>
      <c r="M65" s="133">
        <f aca="true" t="shared" si="33" ref="M65:M70">SUM(N65:Q65)</f>
        <v>0</v>
      </c>
      <c r="N65" s="133"/>
      <c r="O65" s="133"/>
      <c r="P65" s="133"/>
      <c r="Q65" s="135"/>
      <c r="R65" s="635"/>
    </row>
    <row r="66" spans="1:17" s="390" customFormat="1" ht="23.25" customHeight="1">
      <c r="A66" s="384"/>
      <c r="B66" s="385">
        <v>2010</v>
      </c>
      <c r="C66" s="386"/>
      <c r="D66" s="386"/>
      <c r="E66" s="387">
        <f t="shared" si="31"/>
        <v>45018</v>
      </c>
      <c r="F66" s="388">
        <f>F68</f>
        <v>0</v>
      </c>
      <c r="G66" s="388">
        <f>SUM(G67:G68)</f>
        <v>45018</v>
      </c>
      <c r="H66" s="389">
        <f>I66+M66</f>
        <v>45018</v>
      </c>
      <c r="I66" s="389">
        <f t="shared" si="32"/>
        <v>45018</v>
      </c>
      <c r="J66" s="388">
        <f>SUM(J67:J68)</f>
        <v>0</v>
      </c>
      <c r="K66" s="388">
        <f>SUM(K67:K68)</f>
        <v>0</v>
      </c>
      <c r="L66" s="388">
        <f>SUM(L67:L68)</f>
        <v>45018</v>
      </c>
      <c r="M66" s="389">
        <f t="shared" si="33"/>
        <v>0</v>
      </c>
      <c r="N66" s="388">
        <f>SUM(N67:N68)</f>
        <v>0</v>
      </c>
      <c r="O66" s="388">
        <f>SUM(O67:O68)</f>
        <v>0</v>
      </c>
      <c r="P66" s="388">
        <f>SUM(P67:P68)</f>
        <v>0</v>
      </c>
      <c r="Q66" s="388"/>
    </row>
    <row r="67" spans="1:17" s="390" customFormat="1" ht="12.75">
      <c r="A67" s="384"/>
      <c r="B67" s="630"/>
      <c r="C67" s="386"/>
      <c r="D67" s="386"/>
      <c r="E67" s="387">
        <f t="shared" si="31"/>
        <v>45018</v>
      </c>
      <c r="F67" s="388"/>
      <c r="G67" s="388">
        <f>H67</f>
        <v>45018</v>
      </c>
      <c r="H67" s="389">
        <f>I67+M67</f>
        <v>45018</v>
      </c>
      <c r="I67" s="389">
        <f t="shared" si="32"/>
        <v>45018</v>
      </c>
      <c r="J67" s="388">
        <f>SUM(J68:J70)</f>
        <v>0</v>
      </c>
      <c r="K67" s="388">
        <f>SUM(K68:K70)</f>
        <v>0</v>
      </c>
      <c r="L67" s="391">
        <v>45018</v>
      </c>
      <c r="M67" s="389">
        <f t="shared" si="33"/>
        <v>0</v>
      </c>
      <c r="N67" s="388">
        <f>SUM(N68:N70)</f>
        <v>0</v>
      </c>
      <c r="O67" s="388">
        <f>SUM(O68:O70)</f>
        <v>0</v>
      </c>
      <c r="P67" s="388">
        <f>SUM(P68:P70)</f>
        <v>0</v>
      </c>
      <c r="Q67" s="388"/>
    </row>
    <row r="68" spans="1:17" s="390" customFormat="1" ht="12.75">
      <c r="A68" s="384"/>
      <c r="B68" s="385"/>
      <c r="C68" s="386"/>
      <c r="D68" s="386"/>
      <c r="E68" s="387">
        <f t="shared" si="31"/>
        <v>0</v>
      </c>
      <c r="F68" s="388">
        <f>H68</f>
        <v>0</v>
      </c>
      <c r="G68" s="388"/>
      <c r="H68" s="389"/>
      <c r="I68" s="389">
        <f t="shared" si="32"/>
        <v>0</v>
      </c>
      <c r="J68" s="386"/>
      <c r="K68" s="386"/>
      <c r="L68" s="391"/>
      <c r="M68" s="389">
        <f t="shared" si="33"/>
        <v>0</v>
      </c>
      <c r="N68" s="386"/>
      <c r="O68" s="386"/>
      <c r="P68" s="386"/>
      <c r="Q68" s="391"/>
    </row>
    <row r="69" spans="1:17" s="390" customFormat="1" ht="12" customHeight="1">
      <c r="A69" s="384"/>
      <c r="B69" s="385">
        <v>2011</v>
      </c>
      <c r="C69" s="386"/>
      <c r="D69" s="386"/>
      <c r="E69" s="550">
        <f t="shared" si="31"/>
        <v>608804</v>
      </c>
      <c r="F69" s="388">
        <f>L69</f>
        <v>118438</v>
      </c>
      <c r="G69" s="388">
        <f>M69</f>
        <v>490366</v>
      </c>
      <c r="H69" s="389">
        <f>I69+M69</f>
        <v>608804</v>
      </c>
      <c r="I69" s="389">
        <f t="shared" si="32"/>
        <v>118438</v>
      </c>
      <c r="J69" s="386"/>
      <c r="K69" s="386"/>
      <c r="L69" s="386">
        <v>118438</v>
      </c>
      <c r="M69" s="389">
        <f t="shared" si="33"/>
        <v>490366</v>
      </c>
      <c r="N69" s="386"/>
      <c r="O69" s="386"/>
      <c r="P69" s="386"/>
      <c r="Q69" s="386">
        <v>490366</v>
      </c>
    </row>
    <row r="70" spans="1:17" s="390" customFormat="1" ht="12" customHeight="1">
      <c r="A70" s="384"/>
      <c r="B70" s="385">
        <v>2012</v>
      </c>
      <c r="C70" s="386"/>
      <c r="D70" s="386"/>
      <c r="E70" s="550">
        <f t="shared" si="31"/>
        <v>0</v>
      </c>
      <c r="F70" s="388">
        <f>L70</f>
        <v>0</v>
      </c>
      <c r="G70" s="388">
        <f>M70</f>
        <v>0</v>
      </c>
      <c r="H70" s="389">
        <f>I70+M70</f>
        <v>0</v>
      </c>
      <c r="I70" s="389">
        <f t="shared" si="32"/>
        <v>0</v>
      </c>
      <c r="J70" s="386"/>
      <c r="K70" s="386"/>
      <c r="L70" s="386"/>
      <c r="M70" s="389">
        <f t="shared" si="33"/>
        <v>0</v>
      </c>
      <c r="N70" s="386"/>
      <c r="O70" s="386"/>
      <c r="P70" s="386"/>
      <c r="Q70" s="386"/>
    </row>
    <row r="71" spans="1:17" s="138" customFormat="1" ht="11.25" customHeight="1">
      <c r="A71" s="266"/>
      <c r="B71" s="277" t="s">
        <v>749</v>
      </c>
      <c r="C71" s="784" t="s">
        <v>805</v>
      </c>
      <c r="D71" s="785"/>
      <c r="E71" s="785"/>
      <c r="F71" s="785"/>
      <c r="G71" s="785"/>
      <c r="H71" s="785"/>
      <c r="I71" s="785"/>
      <c r="J71" s="785"/>
      <c r="K71" s="785"/>
      <c r="L71" s="785"/>
      <c r="M71" s="785"/>
      <c r="N71" s="785"/>
      <c r="O71" s="785"/>
      <c r="P71" s="785"/>
      <c r="Q71" s="786"/>
    </row>
    <row r="72" spans="1:17" s="138" customFormat="1" ht="11.25" customHeight="1">
      <c r="A72" s="266"/>
      <c r="B72" s="275" t="s">
        <v>750</v>
      </c>
      <c r="C72" s="775"/>
      <c r="D72" s="776"/>
      <c r="E72" s="776"/>
      <c r="F72" s="776"/>
      <c r="G72" s="776"/>
      <c r="H72" s="776"/>
      <c r="I72" s="776"/>
      <c r="J72" s="776"/>
      <c r="K72" s="776"/>
      <c r="L72" s="776"/>
      <c r="M72" s="776"/>
      <c r="N72" s="776"/>
      <c r="O72" s="776"/>
      <c r="P72" s="776"/>
      <c r="Q72" s="777"/>
    </row>
    <row r="73" spans="1:17" s="138" customFormat="1" ht="11.25" customHeight="1">
      <c r="A73" s="266"/>
      <c r="B73" s="275" t="s">
        <v>751</v>
      </c>
      <c r="C73" s="775"/>
      <c r="D73" s="776"/>
      <c r="E73" s="776"/>
      <c r="F73" s="776"/>
      <c r="G73" s="776"/>
      <c r="H73" s="776"/>
      <c r="I73" s="776"/>
      <c r="J73" s="776"/>
      <c r="K73" s="776"/>
      <c r="L73" s="776"/>
      <c r="M73" s="776"/>
      <c r="N73" s="776"/>
      <c r="O73" s="776"/>
      <c r="P73" s="776"/>
      <c r="Q73" s="777"/>
    </row>
    <row r="74" spans="1:17" s="138" customFormat="1" ht="11.25" customHeight="1">
      <c r="A74" s="266"/>
      <c r="B74" s="276" t="s">
        <v>752</v>
      </c>
      <c r="C74" s="778"/>
      <c r="D74" s="779"/>
      <c r="E74" s="779"/>
      <c r="F74" s="779"/>
      <c r="G74" s="779"/>
      <c r="H74" s="779"/>
      <c r="I74" s="779"/>
      <c r="J74" s="779"/>
      <c r="K74" s="779"/>
      <c r="L74" s="779"/>
      <c r="M74" s="779"/>
      <c r="N74" s="779"/>
      <c r="O74" s="779"/>
      <c r="P74" s="779"/>
      <c r="Q74" s="780"/>
    </row>
    <row r="75" spans="1:17" s="138" customFormat="1" ht="12.75">
      <c r="A75" s="266"/>
      <c r="B75" s="278" t="s">
        <v>753</v>
      </c>
      <c r="C75" s="34"/>
      <c r="D75" s="141" t="s">
        <v>480</v>
      </c>
      <c r="E75" s="140">
        <f>E76+E79</f>
        <v>12000</v>
      </c>
      <c r="F75" s="140">
        <f aca="true" t="shared" si="34" ref="F75:Q75">F76+F79</f>
        <v>1800</v>
      </c>
      <c r="G75" s="140">
        <f t="shared" si="34"/>
        <v>10200</v>
      </c>
      <c r="H75" s="140">
        <f t="shared" si="34"/>
        <v>12000</v>
      </c>
      <c r="I75" s="140">
        <f t="shared" si="34"/>
        <v>1800</v>
      </c>
      <c r="J75" s="140">
        <f t="shared" si="34"/>
        <v>0</v>
      </c>
      <c r="K75" s="140">
        <f t="shared" si="34"/>
        <v>0</v>
      </c>
      <c r="L75" s="140">
        <f t="shared" si="34"/>
        <v>1800</v>
      </c>
      <c r="M75" s="140">
        <f t="shared" si="34"/>
        <v>10200</v>
      </c>
      <c r="N75" s="140">
        <f t="shared" si="34"/>
        <v>0</v>
      </c>
      <c r="O75" s="140">
        <f t="shared" si="34"/>
        <v>0</v>
      </c>
      <c r="P75" s="140">
        <f t="shared" si="34"/>
        <v>0</v>
      </c>
      <c r="Q75" s="140">
        <f t="shared" si="34"/>
        <v>10200</v>
      </c>
    </row>
    <row r="76" spans="1:17" s="138" customFormat="1" ht="12.75">
      <c r="A76" s="266"/>
      <c r="B76" s="278">
        <v>2010</v>
      </c>
      <c r="C76" s="34"/>
      <c r="D76" s="141"/>
      <c r="E76" s="140">
        <f>SUM(E77:E78)</f>
        <v>4000</v>
      </c>
      <c r="F76" s="140">
        <f aca="true" t="shared" si="35" ref="F76:Q76">SUM(F77:F78)</f>
        <v>600</v>
      </c>
      <c r="G76" s="140">
        <f t="shared" si="35"/>
        <v>3400</v>
      </c>
      <c r="H76" s="140">
        <f t="shared" si="35"/>
        <v>4000</v>
      </c>
      <c r="I76" s="140">
        <f t="shared" si="35"/>
        <v>600</v>
      </c>
      <c r="J76" s="140">
        <f t="shared" si="35"/>
        <v>0</v>
      </c>
      <c r="K76" s="140">
        <f t="shared" si="35"/>
        <v>0</v>
      </c>
      <c r="L76" s="140">
        <f t="shared" si="35"/>
        <v>600</v>
      </c>
      <c r="M76" s="140">
        <f t="shared" si="35"/>
        <v>3400</v>
      </c>
      <c r="N76" s="140">
        <f t="shared" si="35"/>
        <v>0</v>
      </c>
      <c r="O76" s="140">
        <f t="shared" si="35"/>
        <v>0</v>
      </c>
      <c r="P76" s="140">
        <f t="shared" si="35"/>
        <v>0</v>
      </c>
      <c r="Q76" s="140">
        <f t="shared" si="35"/>
        <v>3400</v>
      </c>
    </row>
    <row r="77" spans="1:17" s="390" customFormat="1" ht="12.75">
      <c r="A77" s="384"/>
      <c r="B77" s="385"/>
      <c r="C77" s="386"/>
      <c r="D77" s="386">
        <v>6068</v>
      </c>
      <c r="E77" s="387">
        <f>SUM(F77:G77)</f>
        <v>3400</v>
      </c>
      <c r="F77" s="388"/>
      <c r="G77" s="388">
        <f>H77</f>
        <v>3400</v>
      </c>
      <c r="H77" s="389">
        <f>I77+M77</f>
        <v>3400</v>
      </c>
      <c r="I77" s="389">
        <f>SUM(J77:L77)</f>
        <v>0</v>
      </c>
      <c r="J77" s="388">
        <f>SUM(J78:J78)</f>
        <v>0</v>
      </c>
      <c r="K77" s="388">
        <f>SUM(K78:K78)</f>
        <v>0</v>
      </c>
      <c r="L77" s="391"/>
      <c r="M77" s="389">
        <f>SUM(N77:Q77)</f>
        <v>3400</v>
      </c>
      <c r="N77" s="388">
        <f>SUM(N78:N78)</f>
        <v>0</v>
      </c>
      <c r="O77" s="388">
        <f>SUM(O78:O78)</f>
        <v>0</v>
      </c>
      <c r="P77" s="388">
        <f>SUM(P78:P78)</f>
        <v>0</v>
      </c>
      <c r="Q77" s="391">
        <v>3400</v>
      </c>
    </row>
    <row r="78" spans="1:17" s="390" customFormat="1" ht="12.75">
      <c r="A78" s="399"/>
      <c r="B78" s="385"/>
      <c r="C78" s="386"/>
      <c r="D78" s="386">
        <v>6069</v>
      </c>
      <c r="E78" s="387">
        <f>SUM(F78:G78)</f>
        <v>600</v>
      </c>
      <c r="F78" s="388">
        <f>H78</f>
        <v>600</v>
      </c>
      <c r="G78" s="388"/>
      <c r="H78" s="389">
        <f>I78+M78</f>
        <v>600</v>
      </c>
      <c r="I78" s="389">
        <f>SUM(J78:L78)</f>
        <v>600</v>
      </c>
      <c r="J78" s="386"/>
      <c r="K78" s="386"/>
      <c r="L78" s="391">
        <v>600</v>
      </c>
      <c r="M78" s="389">
        <f>SUM(N78:Q78)</f>
        <v>0</v>
      </c>
      <c r="N78" s="386"/>
      <c r="O78" s="386"/>
      <c r="P78" s="386"/>
      <c r="Q78" s="391"/>
    </row>
    <row r="79" spans="1:17" ht="12.75">
      <c r="A79" s="259"/>
      <c r="B79" s="134">
        <v>2009</v>
      </c>
      <c r="C79" s="133"/>
      <c r="D79" s="134"/>
      <c r="E79" s="140">
        <f>SUM(F79:G79)</f>
        <v>8000</v>
      </c>
      <c r="F79" s="135">
        <f>L79</f>
        <v>1200</v>
      </c>
      <c r="G79" s="135">
        <f>Q79</f>
        <v>6800</v>
      </c>
      <c r="H79" s="133">
        <f>I79+M79</f>
        <v>8000</v>
      </c>
      <c r="I79" s="133">
        <f>SUM(J79:L79)</f>
        <v>1200</v>
      </c>
      <c r="J79" s="133"/>
      <c r="K79" s="133"/>
      <c r="L79" s="135">
        <v>1200</v>
      </c>
      <c r="M79" s="133">
        <f>SUM(N79:Q79)</f>
        <v>6800</v>
      </c>
      <c r="N79" s="133"/>
      <c r="O79" s="133"/>
      <c r="P79" s="133"/>
      <c r="Q79" s="135">
        <v>6800</v>
      </c>
    </row>
    <row r="80" spans="1:17" ht="12.75">
      <c r="A80" s="400"/>
      <c r="B80" s="401"/>
      <c r="C80" s="138"/>
      <c r="D80" s="401"/>
      <c r="E80" s="645"/>
      <c r="F80" s="392"/>
      <c r="G80" s="392"/>
      <c r="H80" s="138"/>
      <c r="I80" s="138"/>
      <c r="J80" s="138"/>
      <c r="K80" s="138"/>
      <c r="L80" s="392"/>
      <c r="M80" s="138"/>
      <c r="N80" s="138"/>
      <c r="O80" s="138"/>
      <c r="P80" s="138"/>
      <c r="Q80" s="392"/>
    </row>
    <row r="81" spans="1:17" s="138" customFormat="1" ht="20.25" customHeight="1">
      <c r="A81" s="266"/>
      <c r="B81" s="667" t="s">
        <v>525</v>
      </c>
      <c r="C81" s="765" t="s">
        <v>526</v>
      </c>
      <c r="D81" s="765"/>
      <c r="E81" s="765"/>
      <c r="F81" s="765"/>
      <c r="G81" s="765"/>
      <c r="H81" s="765"/>
      <c r="I81" s="765"/>
      <c r="J81" s="765"/>
      <c r="K81" s="765"/>
      <c r="L81" s="765"/>
      <c r="M81" s="765"/>
      <c r="N81" s="765"/>
      <c r="O81" s="765"/>
      <c r="P81" s="765"/>
      <c r="Q81" s="766"/>
    </row>
    <row r="82" spans="1:17" s="138" customFormat="1" ht="21.75" customHeight="1">
      <c r="A82" s="266"/>
      <c r="B82" s="667" t="s">
        <v>527</v>
      </c>
      <c r="C82" s="669"/>
      <c r="D82" s="767" t="s">
        <v>528</v>
      </c>
      <c r="E82" s="767"/>
      <c r="F82" s="767"/>
      <c r="G82" s="767"/>
      <c r="H82" s="767"/>
      <c r="I82" s="767"/>
      <c r="J82" s="767"/>
      <c r="K82" s="767"/>
      <c r="L82" s="767"/>
      <c r="M82" s="767"/>
      <c r="N82" s="767"/>
      <c r="O82" s="767"/>
      <c r="P82" s="767"/>
      <c r="Q82" s="768"/>
    </row>
    <row r="83" spans="1:17" s="138" customFormat="1" ht="11.25" customHeight="1">
      <c r="A83" s="266"/>
      <c r="B83" s="668" t="s">
        <v>529</v>
      </c>
      <c r="C83" s="765" t="s">
        <v>530</v>
      </c>
      <c r="D83" s="765"/>
      <c r="E83" s="765"/>
      <c r="F83" s="765"/>
      <c r="G83" s="765"/>
      <c r="H83" s="765"/>
      <c r="I83" s="765"/>
      <c r="J83" s="765"/>
      <c r="K83" s="765"/>
      <c r="L83" s="765"/>
      <c r="M83" s="765"/>
      <c r="N83" s="765"/>
      <c r="O83" s="765"/>
      <c r="P83" s="765"/>
      <c r="Q83" s="766"/>
    </row>
    <row r="84" spans="1:17" s="138" customFormat="1" ht="23.25" customHeight="1">
      <c r="A84" s="266"/>
      <c r="B84" s="656" t="s">
        <v>752</v>
      </c>
      <c r="C84" s="670"/>
      <c r="D84" s="670" t="s">
        <v>531</v>
      </c>
      <c r="E84" s="671"/>
      <c r="F84" s="671"/>
      <c r="G84" s="671"/>
      <c r="H84" s="671"/>
      <c r="I84" s="671"/>
      <c r="J84" s="671"/>
      <c r="K84" s="671"/>
      <c r="L84" s="671"/>
      <c r="M84" s="671"/>
      <c r="N84" s="671"/>
      <c r="O84" s="671"/>
      <c r="P84" s="671"/>
      <c r="Q84" s="672"/>
    </row>
    <row r="85" spans="1:17" s="138" customFormat="1" ht="12.75">
      <c r="A85" s="266"/>
      <c r="B85" s="278" t="s">
        <v>753</v>
      </c>
      <c r="C85" s="34"/>
      <c r="D85" s="141" t="s">
        <v>480</v>
      </c>
      <c r="E85" s="140">
        <f>E86+E89</f>
        <v>348000</v>
      </c>
      <c r="F85" s="140">
        <f aca="true" t="shared" si="36" ref="F85:Q85">F86+F89</f>
        <v>52200</v>
      </c>
      <c r="G85" s="140">
        <f t="shared" si="36"/>
        <v>295800</v>
      </c>
      <c r="H85" s="140">
        <f t="shared" si="36"/>
        <v>348000</v>
      </c>
      <c r="I85" s="140">
        <f t="shared" si="36"/>
        <v>52200</v>
      </c>
      <c r="J85" s="140">
        <f t="shared" si="36"/>
        <v>0</v>
      </c>
      <c r="K85" s="140">
        <f t="shared" si="36"/>
        <v>0</v>
      </c>
      <c r="L85" s="140">
        <f t="shared" si="36"/>
        <v>52200</v>
      </c>
      <c r="M85" s="140">
        <f t="shared" si="36"/>
        <v>295800</v>
      </c>
      <c r="N85" s="140">
        <f t="shared" si="36"/>
        <v>0</v>
      </c>
      <c r="O85" s="140">
        <f t="shared" si="36"/>
        <v>0</v>
      </c>
      <c r="P85" s="140">
        <f t="shared" si="36"/>
        <v>0</v>
      </c>
      <c r="Q85" s="140">
        <f t="shared" si="36"/>
        <v>295800</v>
      </c>
    </row>
    <row r="86" spans="1:17" s="138" customFormat="1" ht="12.75">
      <c r="A86" s="266"/>
      <c r="B86" s="278">
        <v>2010</v>
      </c>
      <c r="C86" s="34"/>
      <c r="D86" s="141"/>
      <c r="E86" s="140">
        <f>SUM(E87:E88)</f>
        <v>0</v>
      </c>
      <c r="F86" s="140">
        <f aca="true" t="shared" si="37" ref="F86:Q86">SUM(F87:F88)</f>
        <v>0</v>
      </c>
      <c r="G86" s="140">
        <f t="shared" si="37"/>
        <v>0</v>
      </c>
      <c r="H86" s="140">
        <f t="shared" si="37"/>
        <v>0</v>
      </c>
      <c r="I86" s="140">
        <f t="shared" si="37"/>
        <v>0</v>
      </c>
      <c r="J86" s="140">
        <f t="shared" si="37"/>
        <v>0</v>
      </c>
      <c r="K86" s="140">
        <f t="shared" si="37"/>
        <v>0</v>
      </c>
      <c r="L86" s="140">
        <f t="shared" si="37"/>
        <v>0</v>
      </c>
      <c r="M86" s="140">
        <f t="shared" si="37"/>
        <v>0</v>
      </c>
      <c r="N86" s="140">
        <f t="shared" si="37"/>
        <v>0</v>
      </c>
      <c r="O86" s="140">
        <f t="shared" si="37"/>
        <v>0</v>
      </c>
      <c r="P86" s="140">
        <f t="shared" si="37"/>
        <v>0</v>
      </c>
      <c r="Q86" s="140">
        <f t="shared" si="37"/>
        <v>0</v>
      </c>
    </row>
    <row r="87" spans="1:17" s="390" customFormat="1" ht="12.75">
      <c r="A87" s="384"/>
      <c r="B87" s="385"/>
      <c r="C87" s="386"/>
      <c r="D87" s="386"/>
      <c r="E87" s="387">
        <f>SUM(F87:G87)</f>
        <v>0</v>
      </c>
      <c r="F87" s="388"/>
      <c r="G87" s="388">
        <f>H87</f>
        <v>0</v>
      </c>
      <c r="H87" s="389">
        <f>I87+M87</f>
        <v>0</v>
      </c>
      <c r="I87" s="389">
        <f>SUM(J87:L87)</f>
        <v>0</v>
      </c>
      <c r="J87" s="388">
        <f>SUM(J88:J88)</f>
        <v>0</v>
      </c>
      <c r="K87" s="388">
        <f>SUM(K88:K88)</f>
        <v>0</v>
      </c>
      <c r="L87" s="391"/>
      <c r="M87" s="389">
        <f>SUM(N87:Q87)</f>
        <v>0</v>
      </c>
      <c r="N87" s="388">
        <f>SUM(N88:N88)</f>
        <v>0</v>
      </c>
      <c r="O87" s="388">
        <f>SUM(O88:O88)</f>
        <v>0</v>
      </c>
      <c r="P87" s="388">
        <f>SUM(P88:P88)</f>
        <v>0</v>
      </c>
      <c r="Q87" s="391"/>
    </row>
    <row r="88" spans="1:17" s="390" customFormat="1" ht="12.75">
      <c r="A88" s="399"/>
      <c r="B88" s="385"/>
      <c r="C88" s="386"/>
      <c r="D88" s="386"/>
      <c r="E88" s="387">
        <f>SUM(F88:G88)</f>
        <v>0</v>
      </c>
      <c r="F88" s="388">
        <f>H88</f>
        <v>0</v>
      </c>
      <c r="G88" s="388"/>
      <c r="H88" s="389">
        <f>I88+M88</f>
        <v>0</v>
      </c>
      <c r="I88" s="389">
        <f>SUM(J88:L88)</f>
        <v>0</v>
      </c>
      <c r="J88" s="386"/>
      <c r="K88" s="386"/>
      <c r="L88" s="391"/>
      <c r="M88" s="389">
        <f>SUM(N88:Q88)</f>
        <v>0</v>
      </c>
      <c r="N88" s="386"/>
      <c r="O88" s="386"/>
      <c r="P88" s="386"/>
      <c r="Q88" s="391"/>
    </row>
    <row r="89" spans="1:17" ht="12.75">
      <c r="A89" s="259"/>
      <c r="B89" s="134">
        <v>2011</v>
      </c>
      <c r="C89" s="133"/>
      <c r="D89" s="134"/>
      <c r="E89" s="140">
        <f>SUM(F89:G89)</f>
        <v>348000</v>
      </c>
      <c r="F89" s="135">
        <f>L89</f>
        <v>52200</v>
      </c>
      <c r="G89" s="135">
        <f>Q89</f>
        <v>295800</v>
      </c>
      <c r="H89" s="133">
        <f>I89+M89</f>
        <v>348000</v>
      </c>
      <c r="I89" s="133">
        <f>SUM(J89:L89)</f>
        <v>52200</v>
      </c>
      <c r="J89" s="133"/>
      <c r="K89" s="133"/>
      <c r="L89" s="135">
        <v>52200</v>
      </c>
      <c r="M89" s="133">
        <f>SUM(N89:Q89)</f>
        <v>295800</v>
      </c>
      <c r="N89" s="133"/>
      <c r="O89" s="133"/>
      <c r="P89" s="133"/>
      <c r="Q89" s="135">
        <v>295800</v>
      </c>
    </row>
    <row r="90" spans="1:17" s="138" customFormat="1" ht="11.25">
      <c r="A90" s="400"/>
      <c r="B90" s="401"/>
      <c r="C90" s="402"/>
      <c r="D90" s="402"/>
      <c r="E90" s="551"/>
      <c r="F90" s="392"/>
      <c r="G90" s="392"/>
      <c r="J90" s="402"/>
      <c r="L90" s="402"/>
      <c r="M90" s="402"/>
      <c r="O90" s="402"/>
      <c r="P90" s="402"/>
      <c r="Q90" s="402"/>
    </row>
    <row r="91" spans="1:17" s="55" customFormat="1" ht="27" customHeight="1">
      <c r="A91" s="474">
        <v>2</v>
      </c>
      <c r="B91" s="481" t="s">
        <v>756</v>
      </c>
      <c r="C91" s="800" t="s">
        <v>710</v>
      </c>
      <c r="D91" s="800"/>
      <c r="E91" s="267">
        <f>E96+E116+E145+E171+E203+E230+E257+E343+E283+E322+E343+E416+E380+E353</f>
        <v>7531777.51</v>
      </c>
      <c r="F91" s="267">
        <f aca="true" t="shared" si="38" ref="F91:Q91">F96+F116+F145+F171+F203+F230+F257+F343+F283+F322+F343+F416+F380+F353</f>
        <v>3224721</v>
      </c>
      <c r="G91" s="267">
        <f t="shared" si="38"/>
        <v>2579964</v>
      </c>
      <c r="H91" s="267">
        <f t="shared" si="38"/>
        <v>5804685</v>
      </c>
      <c r="I91" s="267">
        <f t="shared" si="38"/>
        <v>877024</v>
      </c>
      <c r="J91" s="267">
        <f t="shared" si="38"/>
        <v>0</v>
      </c>
      <c r="K91" s="267">
        <f t="shared" si="38"/>
        <v>0</v>
      </c>
      <c r="L91" s="267">
        <f t="shared" si="38"/>
        <v>877024</v>
      </c>
      <c r="M91" s="267">
        <f t="shared" si="38"/>
        <v>4927661</v>
      </c>
      <c r="N91" s="267">
        <f t="shared" si="38"/>
        <v>0</v>
      </c>
      <c r="O91" s="267">
        <f t="shared" si="38"/>
        <v>0</v>
      </c>
      <c r="P91" s="267">
        <f t="shared" si="38"/>
        <v>0</v>
      </c>
      <c r="Q91" s="267" t="e">
        <f t="shared" si="38"/>
        <v>#REF!</v>
      </c>
    </row>
    <row r="92" spans="1:17" ht="15.75" customHeight="1">
      <c r="A92" s="773" t="s">
        <v>757</v>
      </c>
      <c r="B92" s="277" t="s">
        <v>749</v>
      </c>
      <c r="C92" s="775" t="s">
        <v>621</v>
      </c>
      <c r="D92" s="776"/>
      <c r="E92" s="776"/>
      <c r="F92" s="776"/>
      <c r="G92" s="776"/>
      <c r="H92" s="776"/>
      <c r="I92" s="776"/>
      <c r="J92" s="776"/>
      <c r="K92" s="776"/>
      <c r="L92" s="776"/>
      <c r="M92" s="776"/>
      <c r="N92" s="776"/>
      <c r="O92" s="776"/>
      <c r="P92" s="776"/>
      <c r="Q92" s="777"/>
    </row>
    <row r="93" spans="1:17" ht="12.75" customHeight="1">
      <c r="A93" s="774"/>
      <c r="B93" s="275" t="s">
        <v>750</v>
      </c>
      <c r="C93" s="775"/>
      <c r="D93" s="776"/>
      <c r="E93" s="776"/>
      <c r="F93" s="776"/>
      <c r="G93" s="776"/>
      <c r="H93" s="776"/>
      <c r="I93" s="776"/>
      <c r="J93" s="776"/>
      <c r="K93" s="776"/>
      <c r="L93" s="776"/>
      <c r="M93" s="776"/>
      <c r="N93" s="776"/>
      <c r="O93" s="776"/>
      <c r="P93" s="776"/>
      <c r="Q93" s="777"/>
    </row>
    <row r="94" spans="1:17" ht="12.75" customHeight="1">
      <c r="A94" s="774"/>
      <c r="B94" s="275" t="s">
        <v>751</v>
      </c>
      <c r="C94" s="775"/>
      <c r="D94" s="776"/>
      <c r="E94" s="776"/>
      <c r="F94" s="776"/>
      <c r="G94" s="776"/>
      <c r="H94" s="776"/>
      <c r="I94" s="776"/>
      <c r="J94" s="776"/>
      <c r="K94" s="776"/>
      <c r="L94" s="776"/>
      <c r="M94" s="776"/>
      <c r="N94" s="776"/>
      <c r="O94" s="776"/>
      <c r="P94" s="776"/>
      <c r="Q94" s="777"/>
    </row>
    <row r="95" spans="1:17" ht="12.75" customHeight="1">
      <c r="A95" s="774"/>
      <c r="B95" s="276" t="s">
        <v>752</v>
      </c>
      <c r="C95" s="778"/>
      <c r="D95" s="779"/>
      <c r="E95" s="779"/>
      <c r="F95" s="779"/>
      <c r="G95" s="779"/>
      <c r="H95" s="779"/>
      <c r="I95" s="779"/>
      <c r="J95" s="779"/>
      <c r="K95" s="779"/>
      <c r="L95" s="779"/>
      <c r="M95" s="779"/>
      <c r="N95" s="779"/>
      <c r="O95" s="779"/>
      <c r="P95" s="779"/>
      <c r="Q95" s="780"/>
    </row>
    <row r="96" spans="1:17" s="139" customFormat="1" ht="12.75">
      <c r="A96" s="774"/>
      <c r="B96" s="278" t="s">
        <v>753</v>
      </c>
      <c r="C96" s="34"/>
      <c r="D96" s="141" t="s">
        <v>133</v>
      </c>
      <c r="E96" s="140">
        <f>E104+E105</f>
        <v>147102</v>
      </c>
      <c r="F96" s="140">
        <f aca="true" t="shared" si="39" ref="F96:Q96">F104+F105</f>
        <v>0</v>
      </c>
      <c r="G96" s="140">
        <f t="shared" si="39"/>
        <v>147102</v>
      </c>
      <c r="H96" s="140">
        <f t="shared" si="39"/>
        <v>147102</v>
      </c>
      <c r="I96" s="140">
        <f t="shared" si="39"/>
        <v>0</v>
      </c>
      <c r="J96" s="140">
        <f t="shared" si="39"/>
        <v>0</v>
      </c>
      <c r="K96" s="140">
        <f t="shared" si="39"/>
        <v>0</v>
      </c>
      <c r="L96" s="140">
        <f t="shared" si="39"/>
        <v>0</v>
      </c>
      <c r="M96" s="140">
        <f t="shared" si="39"/>
        <v>147102</v>
      </c>
      <c r="N96" s="140">
        <f t="shared" si="39"/>
        <v>0</v>
      </c>
      <c r="O96" s="140">
        <f t="shared" si="39"/>
        <v>0</v>
      </c>
      <c r="P96" s="140">
        <f t="shared" si="39"/>
        <v>0</v>
      </c>
      <c r="Q96" s="253" t="e">
        <f t="shared" si="39"/>
        <v>#REF!</v>
      </c>
    </row>
    <row r="97" spans="1:17" s="139" customFormat="1" ht="22.5" hidden="1">
      <c r="A97" s="774"/>
      <c r="B97" s="134" t="s">
        <v>622</v>
      </c>
      <c r="C97" s="34"/>
      <c r="D97" s="141" t="s">
        <v>630</v>
      </c>
      <c r="E97" s="140"/>
      <c r="F97" s="140"/>
      <c r="G97" s="140"/>
      <c r="H97" s="140"/>
      <c r="I97" s="140"/>
      <c r="J97" s="140"/>
      <c r="K97" s="140"/>
      <c r="L97" s="140"/>
      <c r="M97" s="140"/>
      <c r="N97" s="140"/>
      <c r="O97" s="140"/>
      <c r="P97" s="140"/>
      <c r="Q97" s="117" t="e">
        <f>'[1]2'!G538</f>
        <v>#REF!</v>
      </c>
    </row>
    <row r="98" spans="1:17" s="139" customFormat="1" ht="33.75" hidden="1">
      <c r="A98" s="774"/>
      <c r="B98" s="134" t="s">
        <v>623</v>
      </c>
      <c r="C98" s="34"/>
      <c r="D98" s="141" t="s">
        <v>631</v>
      </c>
      <c r="E98" s="140"/>
      <c r="F98" s="140"/>
      <c r="G98" s="140"/>
      <c r="H98" s="140"/>
      <c r="I98" s="140"/>
      <c r="J98" s="140"/>
      <c r="K98" s="140"/>
      <c r="L98" s="140"/>
      <c r="M98" s="140"/>
      <c r="N98" s="140"/>
      <c r="O98" s="140"/>
      <c r="P98" s="140"/>
      <c r="Q98" s="117"/>
    </row>
    <row r="99" spans="1:17" s="139" customFormat="1" ht="22.5" hidden="1">
      <c r="A99" s="774"/>
      <c r="B99" s="134" t="s">
        <v>624</v>
      </c>
      <c r="C99" s="34"/>
      <c r="D99" s="141" t="s">
        <v>632</v>
      </c>
      <c r="E99" s="140"/>
      <c r="F99" s="140"/>
      <c r="G99" s="140"/>
      <c r="H99" s="140"/>
      <c r="I99" s="140"/>
      <c r="J99" s="140"/>
      <c r="K99" s="140"/>
      <c r="L99" s="140"/>
      <c r="M99" s="140"/>
      <c r="N99" s="140"/>
      <c r="O99" s="140"/>
      <c r="P99" s="140"/>
      <c r="Q99" s="117"/>
    </row>
    <row r="100" spans="1:17" s="139" customFormat="1" ht="45" hidden="1">
      <c r="A100" s="774"/>
      <c r="B100" s="134" t="s">
        <v>625</v>
      </c>
      <c r="C100" s="34"/>
      <c r="D100" s="141" t="s">
        <v>633</v>
      </c>
      <c r="E100" s="140"/>
      <c r="F100" s="140"/>
      <c r="G100" s="140"/>
      <c r="H100" s="140"/>
      <c r="I100" s="140"/>
      <c r="J100" s="140"/>
      <c r="K100" s="140"/>
      <c r="L100" s="140"/>
      <c r="M100" s="140"/>
      <c r="N100" s="140"/>
      <c r="O100" s="140"/>
      <c r="P100" s="140"/>
      <c r="Q100" s="117"/>
    </row>
    <row r="101" spans="1:17" s="139" customFormat="1" ht="22.5" hidden="1">
      <c r="A101" s="774"/>
      <c r="B101" s="134" t="s">
        <v>428</v>
      </c>
      <c r="C101" s="34"/>
      <c r="D101" s="141" t="s">
        <v>427</v>
      </c>
      <c r="E101" s="140"/>
      <c r="F101" s="140"/>
      <c r="G101" s="140"/>
      <c r="H101" s="140"/>
      <c r="I101" s="140"/>
      <c r="J101" s="140"/>
      <c r="K101" s="140"/>
      <c r="L101" s="140"/>
      <c r="M101" s="140"/>
      <c r="N101" s="140"/>
      <c r="O101" s="140"/>
      <c r="P101" s="140"/>
      <c r="Q101" s="117"/>
    </row>
    <row r="102" spans="1:17" s="139" customFormat="1" ht="56.25" hidden="1">
      <c r="A102" s="774"/>
      <c r="B102" s="134" t="s">
        <v>626</v>
      </c>
      <c r="C102" s="34"/>
      <c r="D102" s="141" t="s">
        <v>634</v>
      </c>
      <c r="E102" s="140"/>
      <c r="F102" s="140"/>
      <c r="G102" s="140"/>
      <c r="H102" s="140"/>
      <c r="I102" s="140"/>
      <c r="J102" s="140"/>
      <c r="K102" s="140"/>
      <c r="L102" s="140"/>
      <c r="M102" s="140"/>
      <c r="N102" s="140"/>
      <c r="O102" s="140"/>
      <c r="P102" s="140"/>
      <c r="Q102" s="117" t="e">
        <f>'[1]2'!L566</f>
        <v>#REF!</v>
      </c>
    </row>
    <row r="103" spans="1:17" s="139" customFormat="1" ht="12.75" hidden="1">
      <c r="A103" s="774"/>
      <c r="B103" s="278"/>
      <c r="C103" s="34"/>
      <c r="D103" s="141"/>
      <c r="E103" s="140"/>
      <c r="F103" s="137"/>
      <c r="G103" s="137"/>
      <c r="H103" s="133"/>
      <c r="I103" s="34"/>
      <c r="J103" s="137"/>
      <c r="K103" s="137"/>
      <c r="L103" s="137"/>
      <c r="M103" s="34"/>
      <c r="N103" s="137"/>
      <c r="O103" s="137"/>
      <c r="P103" s="137"/>
      <c r="Q103" s="137"/>
    </row>
    <row r="104" spans="1:17" s="138" customFormat="1" ht="12.75">
      <c r="A104" s="774"/>
      <c r="B104" s="134"/>
      <c r="C104" s="136"/>
      <c r="D104" s="136"/>
      <c r="E104" s="135">
        <f aca="true" t="shared" si="40" ref="E104:E111">F104+G104</f>
        <v>0</v>
      </c>
      <c r="F104" s="135"/>
      <c r="G104" s="135"/>
      <c r="H104" s="135">
        <f aca="true" t="shared" si="41" ref="H104:H111">I104+M104</f>
        <v>0</v>
      </c>
      <c r="I104" s="135">
        <f>J104+K104+L104</f>
        <v>0</v>
      </c>
      <c r="J104" s="135"/>
      <c r="K104" s="135"/>
      <c r="L104" s="135"/>
      <c r="M104" s="140"/>
      <c r="N104" s="135"/>
      <c r="O104" s="135"/>
      <c r="P104" s="135"/>
      <c r="Q104" s="135" t="e">
        <f>SUM(Q97:Q102)</f>
        <v>#REF!</v>
      </c>
    </row>
    <row r="105" spans="1:17" s="138" customFormat="1" ht="12.75">
      <c r="A105" s="774"/>
      <c r="B105" s="134"/>
      <c r="C105" s="136"/>
      <c r="D105" s="136"/>
      <c r="E105" s="135">
        <f t="shared" si="40"/>
        <v>147102</v>
      </c>
      <c r="F105" s="133"/>
      <c r="G105" s="140">
        <f aca="true" t="shared" si="42" ref="G105:G111">M105</f>
        <v>147102</v>
      </c>
      <c r="H105" s="135">
        <f t="shared" si="41"/>
        <v>147102</v>
      </c>
      <c r="I105" s="135">
        <f>J105+K105+L105</f>
        <v>0</v>
      </c>
      <c r="J105" s="136"/>
      <c r="K105" s="136"/>
      <c r="L105" s="242"/>
      <c r="M105" s="140">
        <f aca="true" t="shared" si="43" ref="M105:M111">SUM(N105:Q105)</f>
        <v>147102</v>
      </c>
      <c r="N105" s="136"/>
      <c r="O105" s="136"/>
      <c r="P105" s="136"/>
      <c r="Q105" s="242">
        <f>SUM(Q106:Q111)</f>
        <v>147102</v>
      </c>
    </row>
    <row r="106" spans="1:17" s="139" customFormat="1" ht="33.75">
      <c r="A106" s="774"/>
      <c r="B106" s="134" t="s">
        <v>463</v>
      </c>
      <c r="C106" s="34"/>
      <c r="D106" s="141">
        <v>4047</v>
      </c>
      <c r="E106" s="135">
        <f t="shared" si="40"/>
        <v>100800</v>
      </c>
      <c r="F106" s="140"/>
      <c r="G106" s="140">
        <f t="shared" si="42"/>
        <v>100800</v>
      </c>
      <c r="H106" s="135">
        <f t="shared" si="41"/>
        <v>100800</v>
      </c>
      <c r="I106" s="135">
        <f>J106+K106+L106</f>
        <v>0</v>
      </c>
      <c r="J106" s="140"/>
      <c r="K106" s="140"/>
      <c r="L106" s="140"/>
      <c r="M106" s="140">
        <f t="shared" si="43"/>
        <v>100800</v>
      </c>
      <c r="N106" s="140"/>
      <c r="O106" s="140"/>
      <c r="P106" s="140"/>
      <c r="Q106" s="117">
        <v>100800</v>
      </c>
    </row>
    <row r="107" spans="1:17" s="139" customFormat="1" ht="22.5">
      <c r="A107" s="774"/>
      <c r="B107" s="134" t="s">
        <v>574</v>
      </c>
      <c r="C107" s="34"/>
      <c r="D107" s="141">
        <v>4017</v>
      </c>
      <c r="E107" s="135">
        <f t="shared" si="40"/>
        <v>0</v>
      </c>
      <c r="F107" s="140"/>
      <c r="G107" s="140">
        <f t="shared" si="42"/>
        <v>0</v>
      </c>
      <c r="H107" s="135"/>
      <c r="I107" s="135"/>
      <c r="J107" s="140"/>
      <c r="K107" s="140"/>
      <c r="L107" s="140"/>
      <c r="M107" s="140">
        <f t="shared" si="43"/>
        <v>0</v>
      </c>
      <c r="N107" s="140"/>
      <c r="O107" s="140"/>
      <c r="P107" s="140"/>
      <c r="Q107" s="117"/>
    </row>
    <row r="108" spans="1:17" s="139" customFormat="1" ht="33.75">
      <c r="A108" s="774"/>
      <c r="B108" s="134" t="s">
        <v>623</v>
      </c>
      <c r="C108" s="34"/>
      <c r="D108" s="141">
        <v>4117</v>
      </c>
      <c r="E108" s="135">
        <f t="shared" si="40"/>
        <v>15221</v>
      </c>
      <c r="F108" s="140"/>
      <c r="G108" s="140">
        <f t="shared" si="42"/>
        <v>15221</v>
      </c>
      <c r="H108" s="135">
        <f t="shared" si="41"/>
        <v>15221</v>
      </c>
      <c r="I108" s="135">
        <f>J108+K108+L108</f>
        <v>0</v>
      </c>
      <c r="J108" s="140"/>
      <c r="K108" s="140"/>
      <c r="L108" s="140"/>
      <c r="M108" s="140">
        <f t="shared" si="43"/>
        <v>15221</v>
      </c>
      <c r="N108" s="140"/>
      <c r="O108" s="140"/>
      <c r="P108" s="140"/>
      <c r="Q108" s="117">
        <v>15221</v>
      </c>
    </row>
    <row r="109" spans="1:17" s="139" customFormat="1" ht="22.5">
      <c r="A109" s="774"/>
      <c r="B109" s="134" t="s">
        <v>624</v>
      </c>
      <c r="C109" s="34"/>
      <c r="D109" s="141">
        <v>4127</v>
      </c>
      <c r="E109" s="135">
        <f t="shared" si="40"/>
        <v>2470</v>
      </c>
      <c r="F109" s="140"/>
      <c r="G109" s="140">
        <f t="shared" si="42"/>
        <v>2470</v>
      </c>
      <c r="H109" s="135">
        <f t="shared" si="41"/>
        <v>2470</v>
      </c>
      <c r="I109" s="140"/>
      <c r="J109" s="140"/>
      <c r="K109" s="140"/>
      <c r="L109" s="140"/>
      <c r="M109" s="140">
        <f t="shared" si="43"/>
        <v>2470</v>
      </c>
      <c r="N109" s="140"/>
      <c r="O109" s="140"/>
      <c r="P109" s="140"/>
      <c r="Q109" s="117">
        <v>2470</v>
      </c>
    </row>
    <row r="110" spans="1:17" s="139" customFormat="1" ht="60">
      <c r="A110" s="774"/>
      <c r="B110" s="608" t="s">
        <v>117</v>
      </c>
      <c r="C110" s="34"/>
      <c r="D110" s="141">
        <v>4447</v>
      </c>
      <c r="E110" s="135">
        <f>F110+G110</f>
        <v>4001</v>
      </c>
      <c r="F110" s="140"/>
      <c r="G110" s="140">
        <f>M110</f>
        <v>4001</v>
      </c>
      <c r="H110" s="135">
        <f>I110+M110</f>
        <v>4001</v>
      </c>
      <c r="I110" s="135">
        <f>J110+K110+L110</f>
        <v>0</v>
      </c>
      <c r="J110" s="140"/>
      <c r="K110" s="140"/>
      <c r="L110" s="140"/>
      <c r="M110" s="140">
        <f>SUM(N110:Q110)</f>
        <v>4001</v>
      </c>
      <c r="N110" s="140"/>
      <c r="O110" s="140"/>
      <c r="P110" s="140"/>
      <c r="Q110" s="117">
        <v>4001</v>
      </c>
    </row>
    <row r="111" spans="1:17" s="139" customFormat="1" ht="72">
      <c r="A111" s="774"/>
      <c r="B111" s="608" t="s">
        <v>532</v>
      </c>
      <c r="C111" s="34"/>
      <c r="D111" s="141">
        <v>4707</v>
      </c>
      <c r="E111" s="135">
        <f t="shared" si="40"/>
        <v>24610</v>
      </c>
      <c r="F111" s="140"/>
      <c r="G111" s="140">
        <f t="shared" si="42"/>
        <v>24610</v>
      </c>
      <c r="H111" s="135">
        <f t="shared" si="41"/>
        <v>24610</v>
      </c>
      <c r="I111" s="135">
        <f>J111+K111+L111</f>
        <v>0</v>
      </c>
      <c r="J111" s="140"/>
      <c r="K111" s="140"/>
      <c r="L111" s="140"/>
      <c r="M111" s="140">
        <f t="shared" si="43"/>
        <v>24610</v>
      </c>
      <c r="N111" s="140"/>
      <c r="O111" s="140"/>
      <c r="P111" s="140"/>
      <c r="Q111" s="117">
        <v>24610</v>
      </c>
    </row>
    <row r="112" spans="1:17" s="138" customFormat="1" ht="21.75" customHeight="1">
      <c r="A112" s="266" t="s">
        <v>758</v>
      </c>
      <c r="B112" s="277" t="s">
        <v>749</v>
      </c>
      <c r="C112" s="784" t="s">
        <v>653</v>
      </c>
      <c r="D112" s="785"/>
      <c r="E112" s="785"/>
      <c r="F112" s="785"/>
      <c r="G112" s="785"/>
      <c r="H112" s="785"/>
      <c r="I112" s="785"/>
      <c r="J112" s="785"/>
      <c r="K112" s="785"/>
      <c r="L112" s="785"/>
      <c r="M112" s="785"/>
      <c r="N112" s="785"/>
      <c r="O112" s="785"/>
      <c r="P112" s="785"/>
      <c r="Q112" s="786"/>
    </row>
    <row r="113" spans="1:17" s="138" customFormat="1" ht="11.25" customHeight="1">
      <c r="A113" s="266"/>
      <c r="B113" s="275" t="s">
        <v>750</v>
      </c>
      <c r="C113" s="775"/>
      <c r="D113" s="776"/>
      <c r="E113" s="776"/>
      <c r="F113" s="776"/>
      <c r="G113" s="776"/>
      <c r="H113" s="776"/>
      <c r="I113" s="776"/>
      <c r="J113" s="776"/>
      <c r="K113" s="776"/>
      <c r="L113" s="776"/>
      <c r="M113" s="776"/>
      <c r="N113" s="776"/>
      <c r="O113" s="776"/>
      <c r="P113" s="776"/>
      <c r="Q113" s="777"/>
    </row>
    <row r="114" spans="1:17" s="138" customFormat="1" ht="11.25" customHeight="1">
      <c r="A114" s="266"/>
      <c r="B114" s="275" t="s">
        <v>751</v>
      </c>
      <c r="C114" s="775"/>
      <c r="D114" s="776"/>
      <c r="E114" s="776"/>
      <c r="F114" s="776"/>
      <c r="G114" s="776"/>
      <c r="H114" s="776"/>
      <c r="I114" s="776"/>
      <c r="J114" s="776"/>
      <c r="K114" s="776"/>
      <c r="L114" s="776"/>
      <c r="M114" s="776"/>
      <c r="N114" s="776"/>
      <c r="O114" s="776"/>
      <c r="P114" s="776"/>
      <c r="Q114" s="777"/>
    </row>
    <row r="115" spans="1:17" s="138" customFormat="1" ht="11.25" customHeight="1">
      <c r="A115" s="266"/>
      <c r="B115" s="276" t="s">
        <v>752</v>
      </c>
      <c r="C115" s="778"/>
      <c r="D115" s="779"/>
      <c r="E115" s="779"/>
      <c r="F115" s="779"/>
      <c r="G115" s="779"/>
      <c r="H115" s="779"/>
      <c r="I115" s="779"/>
      <c r="J115" s="779"/>
      <c r="K115" s="779"/>
      <c r="L115" s="779"/>
      <c r="M115" s="779"/>
      <c r="N115" s="779"/>
      <c r="O115" s="779"/>
      <c r="P115" s="779"/>
      <c r="Q115" s="780"/>
    </row>
    <row r="116" spans="1:17" s="138" customFormat="1" ht="12.75">
      <c r="A116" s="266"/>
      <c r="B116" s="278" t="s">
        <v>753</v>
      </c>
      <c r="C116" s="34"/>
      <c r="D116" s="141" t="s">
        <v>132</v>
      </c>
      <c r="E116" s="140">
        <f>E138+E139</f>
        <v>413206.45999999996</v>
      </c>
      <c r="F116" s="140">
        <f aca="true" t="shared" si="44" ref="F116:Q116">F138+F139</f>
        <v>40945</v>
      </c>
      <c r="G116" s="140">
        <f t="shared" si="44"/>
        <v>235642</v>
      </c>
      <c r="H116" s="140">
        <f t="shared" si="44"/>
        <v>276587</v>
      </c>
      <c r="I116" s="140">
        <f t="shared" si="44"/>
        <v>40945</v>
      </c>
      <c r="J116" s="140">
        <f t="shared" si="44"/>
        <v>0</v>
      </c>
      <c r="K116" s="140">
        <f t="shared" si="44"/>
        <v>0</v>
      </c>
      <c r="L116" s="140">
        <f t="shared" si="44"/>
        <v>40945</v>
      </c>
      <c r="M116" s="140">
        <f t="shared" si="44"/>
        <v>235642</v>
      </c>
      <c r="N116" s="140">
        <f t="shared" si="44"/>
        <v>0</v>
      </c>
      <c r="O116" s="140">
        <f t="shared" si="44"/>
        <v>0</v>
      </c>
      <c r="P116" s="140">
        <f t="shared" si="44"/>
        <v>0</v>
      </c>
      <c r="Q116" s="253">
        <f t="shared" si="44"/>
        <v>235642</v>
      </c>
    </row>
    <row r="117" spans="1:17" s="138" customFormat="1" ht="33.75">
      <c r="A117" s="266"/>
      <c r="B117" s="79" t="s">
        <v>102</v>
      </c>
      <c r="C117" s="34"/>
      <c r="D117" s="261">
        <v>4018</v>
      </c>
      <c r="E117" s="140">
        <f>F117+G117</f>
        <v>7711</v>
      </c>
      <c r="F117" s="140"/>
      <c r="G117" s="253">
        <f>Q117</f>
        <v>7711</v>
      </c>
      <c r="H117" s="140">
        <f>I117+M117</f>
        <v>7711</v>
      </c>
      <c r="I117" s="140">
        <f>SUM(J117:L117)</f>
        <v>0</v>
      </c>
      <c r="J117" s="140"/>
      <c r="K117" s="140"/>
      <c r="L117" s="140"/>
      <c r="M117" s="140">
        <f>SUM(N117:Q117)</f>
        <v>7711</v>
      </c>
      <c r="N117" s="140"/>
      <c r="O117" s="140"/>
      <c r="P117" s="140"/>
      <c r="Q117" s="552">
        <v>7711</v>
      </c>
    </row>
    <row r="118" spans="1:17" s="138" customFormat="1" ht="33.75">
      <c r="A118" s="266"/>
      <c r="B118" s="79" t="s">
        <v>102</v>
      </c>
      <c r="C118" s="34"/>
      <c r="D118" s="261">
        <v>4019</v>
      </c>
      <c r="E118" s="140">
        <f>F118+G118</f>
        <v>1155</v>
      </c>
      <c r="F118" s="140">
        <f>L118</f>
        <v>1155</v>
      </c>
      <c r="G118" s="253"/>
      <c r="H118" s="140">
        <f>I118+M118</f>
        <v>1155</v>
      </c>
      <c r="I118" s="140">
        <f>SUM(J118:L118)</f>
        <v>1155</v>
      </c>
      <c r="J118" s="140"/>
      <c r="K118" s="140"/>
      <c r="L118" s="552">
        <f>204+951</f>
        <v>1155</v>
      </c>
      <c r="M118" s="140">
        <f>SUM(N118:Q118)</f>
        <v>0</v>
      </c>
      <c r="N118" s="140"/>
      <c r="O118" s="140"/>
      <c r="P118" s="140"/>
      <c r="Q118" s="253"/>
    </row>
    <row r="119" spans="1:17" s="138" customFormat="1" ht="33.75">
      <c r="A119" s="266"/>
      <c r="B119" s="79" t="s">
        <v>234</v>
      </c>
      <c r="C119" s="34"/>
      <c r="D119" s="261">
        <v>4118</v>
      </c>
      <c r="E119" s="140">
        <f aca="true" t="shared" si="45" ref="E119:E137">F119+G119</f>
        <v>2753</v>
      </c>
      <c r="F119" s="140"/>
      <c r="G119" s="253">
        <f>Q119</f>
        <v>2753</v>
      </c>
      <c r="H119" s="140">
        <f aca="true" t="shared" si="46" ref="H119:H137">I119+M119</f>
        <v>2753</v>
      </c>
      <c r="I119" s="140">
        <f aca="true" t="shared" si="47" ref="I119:I137">SUM(J119:L119)</f>
        <v>0</v>
      </c>
      <c r="J119" s="140"/>
      <c r="K119" s="140"/>
      <c r="L119" s="140"/>
      <c r="M119" s="140">
        <f aca="true" t="shared" si="48" ref="M119:M137">SUM(N119:Q119)</f>
        <v>2753</v>
      </c>
      <c r="N119" s="140"/>
      <c r="O119" s="140"/>
      <c r="P119" s="140"/>
      <c r="Q119" s="552">
        <f>1171+1582</f>
        <v>2753</v>
      </c>
    </row>
    <row r="120" spans="1:17" s="138" customFormat="1" ht="33.75">
      <c r="A120" s="266"/>
      <c r="B120" s="79" t="s">
        <v>234</v>
      </c>
      <c r="C120" s="34"/>
      <c r="D120" s="261">
        <v>4119</v>
      </c>
      <c r="E120" s="140">
        <f t="shared" si="45"/>
        <v>413</v>
      </c>
      <c r="F120" s="140">
        <f>L120</f>
        <v>413</v>
      </c>
      <c r="G120" s="253"/>
      <c r="H120" s="140">
        <f t="shared" si="46"/>
        <v>413</v>
      </c>
      <c r="I120" s="140">
        <f t="shared" si="47"/>
        <v>413</v>
      </c>
      <c r="J120" s="140"/>
      <c r="K120" s="140"/>
      <c r="L120" s="552">
        <f>31+145+42+195</f>
        <v>413</v>
      </c>
      <c r="M120" s="140">
        <f t="shared" si="48"/>
        <v>0</v>
      </c>
      <c r="N120" s="140"/>
      <c r="O120" s="140"/>
      <c r="P120" s="140"/>
      <c r="Q120" s="253"/>
    </row>
    <row r="121" spans="1:17" s="138" customFormat="1" ht="22.5">
      <c r="A121" s="266"/>
      <c r="B121" s="79" t="s">
        <v>236</v>
      </c>
      <c r="C121" s="34"/>
      <c r="D121" s="261">
        <v>4128</v>
      </c>
      <c r="E121" s="140">
        <f t="shared" si="45"/>
        <v>503</v>
      </c>
      <c r="F121" s="140"/>
      <c r="G121" s="253">
        <f>Q121</f>
        <v>503</v>
      </c>
      <c r="H121" s="140">
        <f t="shared" si="46"/>
        <v>503</v>
      </c>
      <c r="I121" s="140">
        <f t="shared" si="47"/>
        <v>0</v>
      </c>
      <c r="J121" s="140"/>
      <c r="K121" s="140"/>
      <c r="L121" s="140"/>
      <c r="M121" s="140">
        <f t="shared" si="48"/>
        <v>503</v>
      </c>
      <c r="N121" s="140"/>
      <c r="O121" s="140"/>
      <c r="P121" s="140"/>
      <c r="Q121" s="552">
        <f>189+314</f>
        <v>503</v>
      </c>
    </row>
    <row r="122" spans="1:17" s="138" customFormat="1" ht="22.5">
      <c r="A122" s="266"/>
      <c r="B122" s="79" t="s">
        <v>236</v>
      </c>
      <c r="C122" s="34"/>
      <c r="D122" s="261">
        <v>4129</v>
      </c>
      <c r="E122" s="140">
        <f t="shared" si="45"/>
        <v>75</v>
      </c>
      <c r="F122" s="140">
        <f>L122</f>
        <v>75</v>
      </c>
      <c r="G122" s="253"/>
      <c r="H122" s="140">
        <f t="shared" si="46"/>
        <v>75</v>
      </c>
      <c r="I122" s="140">
        <f t="shared" si="47"/>
        <v>75</v>
      </c>
      <c r="J122" s="140"/>
      <c r="K122" s="140"/>
      <c r="L122" s="552">
        <f>5+23+8+39</f>
        <v>75</v>
      </c>
      <c r="M122" s="140">
        <f t="shared" si="48"/>
        <v>0</v>
      </c>
      <c r="N122" s="140"/>
      <c r="O122" s="140"/>
      <c r="P122" s="140"/>
      <c r="Q122" s="253"/>
    </row>
    <row r="123" spans="1:17" s="138" customFormat="1" ht="22.5">
      <c r="A123" s="266"/>
      <c r="B123" s="79" t="s">
        <v>196</v>
      </c>
      <c r="C123" s="34"/>
      <c r="D123" s="261">
        <v>4178</v>
      </c>
      <c r="E123" s="140">
        <f t="shared" si="45"/>
        <v>80022</v>
      </c>
      <c r="F123" s="140"/>
      <c r="G123" s="253">
        <f>M123</f>
        <v>80022</v>
      </c>
      <c r="H123" s="140">
        <f t="shared" si="46"/>
        <v>80022</v>
      </c>
      <c r="I123" s="140">
        <f t="shared" si="47"/>
        <v>0</v>
      </c>
      <c r="J123" s="140"/>
      <c r="K123" s="140"/>
      <c r="L123" s="140"/>
      <c r="M123" s="140">
        <f t="shared" si="48"/>
        <v>80022</v>
      </c>
      <c r="N123" s="140"/>
      <c r="O123" s="140"/>
      <c r="P123" s="140"/>
      <c r="Q123" s="552">
        <v>80022</v>
      </c>
    </row>
    <row r="124" spans="1:17" s="138" customFormat="1" ht="22.5">
      <c r="A124" s="266"/>
      <c r="B124" s="79" t="s">
        <v>196</v>
      </c>
      <c r="C124" s="34"/>
      <c r="D124" s="261">
        <v>4179</v>
      </c>
      <c r="E124" s="140">
        <f t="shared" si="45"/>
        <v>11954</v>
      </c>
      <c r="F124" s="140">
        <f>I124</f>
        <v>11954</v>
      </c>
      <c r="G124" s="253"/>
      <c r="H124" s="140">
        <f t="shared" si="46"/>
        <v>11954</v>
      </c>
      <c r="I124" s="140">
        <f t="shared" si="47"/>
        <v>11954</v>
      </c>
      <c r="J124" s="140"/>
      <c r="K124" s="140"/>
      <c r="L124" s="552">
        <v>11954</v>
      </c>
      <c r="M124" s="140">
        <f t="shared" si="48"/>
        <v>0</v>
      </c>
      <c r="N124" s="140"/>
      <c r="O124" s="140"/>
      <c r="P124" s="140"/>
      <c r="Q124" s="253"/>
    </row>
    <row r="125" spans="1:17" s="138" customFormat="1" ht="22.5">
      <c r="A125" s="266"/>
      <c r="B125" s="79" t="s">
        <v>107</v>
      </c>
      <c r="C125" s="34"/>
      <c r="D125" s="261">
        <v>4218</v>
      </c>
      <c r="E125" s="140">
        <f t="shared" si="45"/>
        <v>26327</v>
      </c>
      <c r="F125" s="140"/>
      <c r="G125" s="253">
        <f>M125</f>
        <v>26327</v>
      </c>
      <c r="H125" s="140">
        <f t="shared" si="46"/>
        <v>26327</v>
      </c>
      <c r="I125" s="140">
        <f t="shared" si="47"/>
        <v>0</v>
      </c>
      <c r="J125" s="140"/>
      <c r="K125" s="140"/>
      <c r="L125" s="140"/>
      <c r="M125" s="140">
        <f t="shared" si="48"/>
        <v>26327</v>
      </c>
      <c r="N125" s="140"/>
      <c r="O125" s="140"/>
      <c r="P125" s="140"/>
      <c r="Q125" s="552">
        <f>23017+3310</f>
        <v>26327</v>
      </c>
    </row>
    <row r="126" spans="1:17" s="138" customFormat="1" ht="22.5">
      <c r="A126" s="266"/>
      <c r="B126" s="79" t="s">
        <v>107</v>
      </c>
      <c r="C126" s="34"/>
      <c r="D126" s="261">
        <v>4219</v>
      </c>
      <c r="E126" s="140">
        <f t="shared" si="45"/>
        <v>3945</v>
      </c>
      <c r="F126" s="140">
        <f>H126</f>
        <v>3945</v>
      </c>
      <c r="G126" s="253"/>
      <c r="H126" s="140">
        <f t="shared" si="46"/>
        <v>3945</v>
      </c>
      <c r="I126" s="140">
        <f t="shared" si="47"/>
        <v>3945</v>
      </c>
      <c r="J126" s="140"/>
      <c r="K126" s="140"/>
      <c r="L126" s="552">
        <f>609+2840+88+408</f>
        <v>3945</v>
      </c>
      <c r="M126" s="140">
        <f t="shared" si="48"/>
        <v>0</v>
      </c>
      <c r="N126" s="140"/>
      <c r="O126" s="140"/>
      <c r="P126" s="140"/>
      <c r="Q126" s="253"/>
    </row>
    <row r="127" spans="1:17" s="138" customFormat="1" ht="12.75">
      <c r="A127" s="266"/>
      <c r="B127" s="79" t="s">
        <v>108</v>
      </c>
      <c r="C127" s="34"/>
      <c r="D127" s="261">
        <v>4268</v>
      </c>
      <c r="E127" s="140">
        <f>F127+G127</f>
        <v>0</v>
      </c>
      <c r="F127" s="140"/>
      <c r="G127" s="253">
        <f>M127</f>
        <v>0</v>
      </c>
      <c r="H127" s="140">
        <f>I127+M127</f>
        <v>0</v>
      </c>
      <c r="I127" s="140">
        <f>SUM(J127:L127)</f>
        <v>0</v>
      </c>
      <c r="J127" s="140"/>
      <c r="K127" s="140"/>
      <c r="L127" s="140"/>
      <c r="M127" s="140">
        <f>SUM(N127:Q127)</f>
        <v>0</v>
      </c>
      <c r="N127" s="140"/>
      <c r="O127" s="140"/>
      <c r="P127" s="140"/>
      <c r="Q127" s="553"/>
    </row>
    <row r="128" spans="1:17" s="138" customFormat="1" ht="12.75">
      <c r="A128" s="266"/>
      <c r="B128" s="79" t="s">
        <v>108</v>
      </c>
      <c r="C128" s="34"/>
      <c r="D128" s="261">
        <v>4269</v>
      </c>
      <c r="E128" s="140">
        <f>F128+G128</f>
        <v>0</v>
      </c>
      <c r="F128" s="140">
        <f>H128</f>
        <v>0</v>
      </c>
      <c r="G128" s="253"/>
      <c r="H128" s="140">
        <f>I128+M128</f>
        <v>0</v>
      </c>
      <c r="I128" s="140">
        <f>SUM(J128:L128)</f>
        <v>0</v>
      </c>
      <c r="J128" s="140"/>
      <c r="K128" s="140"/>
      <c r="L128" s="553"/>
      <c r="M128" s="140">
        <f>SUM(N128:Q128)</f>
        <v>0</v>
      </c>
      <c r="N128" s="140"/>
      <c r="O128" s="140"/>
      <c r="P128" s="140"/>
      <c r="Q128" s="253"/>
    </row>
    <row r="129" spans="1:17" s="138" customFormat="1" ht="22.5">
      <c r="A129" s="266"/>
      <c r="B129" s="79" t="s">
        <v>90</v>
      </c>
      <c r="C129" s="34"/>
      <c r="D129" s="261">
        <v>4308</v>
      </c>
      <c r="E129" s="140">
        <f>F129+G129</f>
        <v>112230</v>
      </c>
      <c r="F129" s="140"/>
      <c r="G129" s="253">
        <f>M129</f>
        <v>112230</v>
      </c>
      <c r="H129" s="140">
        <f>I129+M129</f>
        <v>112230</v>
      </c>
      <c r="I129" s="140">
        <f>SUM(J129:L129)</f>
        <v>0</v>
      </c>
      <c r="J129" s="140"/>
      <c r="K129" s="140"/>
      <c r="L129" s="140"/>
      <c r="M129" s="140">
        <f>SUM(N129:Q129)</f>
        <v>112230</v>
      </c>
      <c r="N129" s="140"/>
      <c r="O129" s="140"/>
      <c r="P129" s="140"/>
      <c r="Q129" s="552">
        <v>112230</v>
      </c>
    </row>
    <row r="130" spans="1:17" s="138" customFormat="1" ht="22.5">
      <c r="A130" s="266"/>
      <c r="B130" s="79" t="s">
        <v>90</v>
      </c>
      <c r="C130" s="34"/>
      <c r="D130" s="261">
        <v>4309</v>
      </c>
      <c r="E130" s="140">
        <f t="shared" si="45"/>
        <v>16846</v>
      </c>
      <c r="F130" s="140">
        <f>H130</f>
        <v>16846</v>
      </c>
      <c r="G130" s="253"/>
      <c r="H130" s="140">
        <f t="shared" si="46"/>
        <v>16846</v>
      </c>
      <c r="I130" s="140">
        <f t="shared" si="47"/>
        <v>16846</v>
      </c>
      <c r="J130" s="140"/>
      <c r="K130" s="140"/>
      <c r="L130" s="552">
        <v>16846</v>
      </c>
      <c r="M130" s="140">
        <f t="shared" si="48"/>
        <v>0</v>
      </c>
      <c r="N130" s="140"/>
      <c r="O130" s="140"/>
      <c r="P130" s="140"/>
      <c r="Q130" s="253"/>
    </row>
    <row r="131" spans="1:17" s="138" customFormat="1" ht="67.5">
      <c r="A131" s="266"/>
      <c r="B131" s="79" t="s">
        <v>199</v>
      </c>
      <c r="C131" s="34"/>
      <c r="D131" s="261">
        <v>4748</v>
      </c>
      <c r="E131" s="140">
        <f t="shared" si="45"/>
        <v>2443</v>
      </c>
      <c r="F131" s="140"/>
      <c r="G131" s="253">
        <f>M131</f>
        <v>2443</v>
      </c>
      <c r="H131" s="140">
        <f t="shared" si="46"/>
        <v>2443</v>
      </c>
      <c r="I131" s="140">
        <f t="shared" si="47"/>
        <v>0</v>
      </c>
      <c r="J131" s="140"/>
      <c r="K131" s="140"/>
      <c r="L131" s="140"/>
      <c r="M131" s="140">
        <f t="shared" si="48"/>
        <v>2443</v>
      </c>
      <c r="N131" s="140"/>
      <c r="O131" s="140"/>
      <c r="P131" s="140"/>
      <c r="Q131" s="552">
        <v>2443</v>
      </c>
    </row>
    <row r="132" spans="1:17" s="138" customFormat="1" ht="67.5">
      <c r="A132" s="266"/>
      <c r="B132" s="79" t="s">
        <v>199</v>
      </c>
      <c r="C132" s="34"/>
      <c r="D132" s="261">
        <v>4749</v>
      </c>
      <c r="E132" s="140">
        <f t="shared" si="45"/>
        <v>366</v>
      </c>
      <c r="F132" s="140">
        <f>H132</f>
        <v>366</v>
      </c>
      <c r="G132" s="253"/>
      <c r="H132" s="140">
        <f t="shared" si="46"/>
        <v>366</v>
      </c>
      <c r="I132" s="140">
        <f t="shared" si="47"/>
        <v>366</v>
      </c>
      <c r="J132" s="140"/>
      <c r="K132" s="140"/>
      <c r="L132" s="552">
        <f>65+301</f>
        <v>366</v>
      </c>
      <c r="M132" s="140">
        <f t="shared" si="48"/>
        <v>0</v>
      </c>
      <c r="N132" s="140"/>
      <c r="O132" s="140"/>
      <c r="P132" s="140"/>
      <c r="Q132" s="253"/>
    </row>
    <row r="133" spans="1:17" s="138" customFormat="1" ht="12.75">
      <c r="A133" s="266"/>
      <c r="B133" s="79"/>
      <c r="C133" s="34"/>
      <c r="D133" s="261">
        <v>4248</v>
      </c>
      <c r="E133" s="140">
        <f>F133+G133</f>
        <v>0</v>
      </c>
      <c r="F133" s="140">
        <f>H133</f>
        <v>0</v>
      </c>
      <c r="G133" s="253"/>
      <c r="H133" s="140">
        <f>I133+M133</f>
        <v>0</v>
      </c>
      <c r="I133" s="140">
        <f>SUM(J133:L133)</f>
        <v>0</v>
      </c>
      <c r="J133" s="140"/>
      <c r="K133" s="140"/>
      <c r="L133" s="140"/>
      <c r="M133" s="140">
        <f>SUM(N133:Q133)</f>
        <v>0</v>
      </c>
      <c r="N133" s="140"/>
      <c r="O133" s="140"/>
      <c r="P133" s="140"/>
      <c r="Q133" s="253"/>
    </row>
    <row r="134" spans="1:17" s="138" customFormat="1" ht="12.75">
      <c r="A134" s="266"/>
      <c r="B134" s="79"/>
      <c r="C134" s="34"/>
      <c r="D134" s="261">
        <v>4249</v>
      </c>
      <c r="E134" s="140">
        <f>F134+G134</f>
        <v>0</v>
      </c>
      <c r="F134" s="140">
        <f>H134</f>
        <v>0</v>
      </c>
      <c r="G134" s="253"/>
      <c r="H134" s="140">
        <f>I134+M134</f>
        <v>0</v>
      </c>
      <c r="I134" s="140">
        <f>SUM(J134:L134)</f>
        <v>0</v>
      </c>
      <c r="J134" s="140"/>
      <c r="K134" s="140"/>
      <c r="L134" s="140"/>
      <c r="M134" s="140">
        <f>SUM(N134:Q134)</f>
        <v>0</v>
      </c>
      <c r="N134" s="140"/>
      <c r="O134" s="140"/>
      <c r="P134" s="140"/>
      <c r="Q134" s="253"/>
    </row>
    <row r="135" spans="1:17" s="138" customFormat="1" ht="22.5">
      <c r="A135" s="266"/>
      <c r="B135" s="79" t="s">
        <v>793</v>
      </c>
      <c r="C135" s="34"/>
      <c r="D135" s="261"/>
      <c r="E135" s="140">
        <f>F135+G135</f>
        <v>5643</v>
      </c>
      <c r="F135" s="140">
        <f>H135</f>
        <v>5643</v>
      </c>
      <c r="G135" s="253"/>
      <c r="H135" s="140">
        <f>I135+M135</f>
        <v>5643</v>
      </c>
      <c r="I135" s="140">
        <f>SUM(J135:L135)</f>
        <v>5643</v>
      </c>
      <c r="J135" s="140"/>
      <c r="K135" s="140"/>
      <c r="L135" s="140">
        <v>5643</v>
      </c>
      <c r="M135" s="140">
        <f>SUM(N135:Q135)</f>
        <v>0</v>
      </c>
      <c r="N135" s="140"/>
      <c r="O135" s="140"/>
      <c r="P135" s="140"/>
      <c r="Q135" s="253"/>
    </row>
    <row r="136" spans="1:17" s="138" customFormat="1" ht="45">
      <c r="A136" s="266"/>
      <c r="B136" s="79" t="s">
        <v>239</v>
      </c>
      <c r="C136" s="34"/>
      <c r="D136" s="261">
        <v>4758</v>
      </c>
      <c r="E136" s="140">
        <f t="shared" si="45"/>
        <v>3653</v>
      </c>
      <c r="F136" s="140"/>
      <c r="G136" s="253">
        <f>M136</f>
        <v>3653</v>
      </c>
      <c r="H136" s="140">
        <f t="shared" si="46"/>
        <v>3653</v>
      </c>
      <c r="I136" s="140">
        <f t="shared" si="47"/>
        <v>0</v>
      </c>
      <c r="J136" s="140"/>
      <c r="K136" s="140"/>
      <c r="L136" s="140"/>
      <c r="M136" s="140">
        <f t="shared" si="48"/>
        <v>3653</v>
      </c>
      <c r="N136" s="140"/>
      <c r="O136" s="140"/>
      <c r="P136" s="140"/>
      <c r="Q136" s="552">
        <v>3653</v>
      </c>
    </row>
    <row r="137" spans="1:17" s="138" customFormat="1" ht="45">
      <c r="A137" s="266"/>
      <c r="B137" s="79" t="s">
        <v>239</v>
      </c>
      <c r="C137" s="34"/>
      <c r="D137" s="261">
        <v>4759</v>
      </c>
      <c r="E137" s="140">
        <f t="shared" si="45"/>
        <v>548</v>
      </c>
      <c r="F137" s="140">
        <f>H137</f>
        <v>548</v>
      </c>
      <c r="G137" s="253"/>
      <c r="H137" s="140">
        <f t="shared" si="46"/>
        <v>548</v>
      </c>
      <c r="I137" s="140">
        <f t="shared" si="47"/>
        <v>548</v>
      </c>
      <c r="J137" s="140"/>
      <c r="K137" s="140"/>
      <c r="L137" s="552">
        <f>97+451</f>
        <v>548</v>
      </c>
      <c r="M137" s="140">
        <f t="shared" si="48"/>
        <v>0</v>
      </c>
      <c r="N137" s="140"/>
      <c r="O137" s="140"/>
      <c r="P137" s="140"/>
      <c r="Q137" s="253"/>
    </row>
    <row r="138" spans="1:19" s="139" customFormat="1" ht="11.25">
      <c r="A138" s="554"/>
      <c r="B138" s="278" t="s">
        <v>189</v>
      </c>
      <c r="C138" s="555"/>
      <c r="D138" s="555"/>
      <c r="E138" s="137">
        <f>F138+G138</f>
        <v>276587</v>
      </c>
      <c r="F138" s="137">
        <f>SUM(F117:F137)</f>
        <v>40945</v>
      </c>
      <c r="G138" s="137">
        <f>SUM(G117:G137)</f>
        <v>235642</v>
      </c>
      <c r="H138" s="137">
        <f>I138+M138</f>
        <v>276587</v>
      </c>
      <c r="I138" s="137">
        <f>SUM(J138:L138)</f>
        <v>40945</v>
      </c>
      <c r="J138" s="137">
        <f>SUM(J117:J137)</f>
        <v>0</v>
      </c>
      <c r="K138" s="137">
        <f>SUM(K117:K137)</f>
        <v>0</v>
      </c>
      <c r="L138" s="137">
        <f>SUM(L117:L137)</f>
        <v>40945</v>
      </c>
      <c r="M138" s="137">
        <f>N138+O138+P138+Q138</f>
        <v>235642</v>
      </c>
      <c r="N138" s="137">
        <f>SUM(N117:N137)</f>
        <v>0</v>
      </c>
      <c r="O138" s="137">
        <f>SUM(O117:O137)</f>
        <v>0</v>
      </c>
      <c r="P138" s="137">
        <f>SUM(P117:P137)</f>
        <v>0</v>
      </c>
      <c r="Q138" s="137">
        <f>SUM(Q117:Q137)</f>
        <v>235642</v>
      </c>
      <c r="S138" s="556"/>
    </row>
    <row r="139" spans="1:17" s="138" customFormat="1" ht="11.25">
      <c r="A139" s="266"/>
      <c r="B139" s="134" t="s">
        <v>190</v>
      </c>
      <c r="C139" s="136"/>
      <c r="D139" s="136"/>
      <c r="E139" s="135">
        <v>136619.46</v>
      </c>
      <c r="F139" s="135"/>
      <c r="G139" s="133"/>
      <c r="H139" s="135"/>
      <c r="I139" s="135"/>
      <c r="J139" s="136"/>
      <c r="K139" s="136"/>
      <c r="L139" s="242"/>
      <c r="M139" s="135"/>
      <c r="N139" s="136"/>
      <c r="O139" s="136"/>
      <c r="P139" s="136"/>
      <c r="Q139" s="136"/>
    </row>
    <row r="140" spans="1:17" s="138" customFormat="1" ht="11.25">
      <c r="A140" s="266"/>
      <c r="B140" s="134"/>
      <c r="C140" s="136"/>
      <c r="D140" s="136"/>
      <c r="E140" s="135"/>
      <c r="F140" s="135"/>
      <c r="G140" s="133"/>
      <c r="H140" s="135"/>
      <c r="I140" s="135"/>
      <c r="J140" s="136"/>
      <c r="K140" s="136"/>
      <c r="L140" s="242"/>
      <c r="M140" s="135"/>
      <c r="N140" s="136"/>
      <c r="O140" s="136"/>
      <c r="P140" s="136"/>
      <c r="Q140" s="136"/>
    </row>
    <row r="141" spans="1:17" s="138" customFormat="1" ht="11.25" customHeight="1">
      <c r="A141" s="266" t="s">
        <v>55</v>
      </c>
      <c r="B141" s="277" t="s">
        <v>749</v>
      </c>
      <c r="C141" s="784" t="s">
        <v>423</v>
      </c>
      <c r="D141" s="785"/>
      <c r="E141" s="785"/>
      <c r="F141" s="785"/>
      <c r="G141" s="785"/>
      <c r="H141" s="785"/>
      <c r="I141" s="785"/>
      <c r="J141" s="785"/>
      <c r="K141" s="785"/>
      <c r="L141" s="785"/>
      <c r="M141" s="785"/>
      <c r="N141" s="785"/>
      <c r="O141" s="785"/>
      <c r="P141" s="785"/>
      <c r="Q141" s="786"/>
    </row>
    <row r="142" spans="1:17" s="138" customFormat="1" ht="11.25" customHeight="1">
      <c r="A142" s="266"/>
      <c r="B142" s="275" t="s">
        <v>750</v>
      </c>
      <c r="C142" s="775"/>
      <c r="D142" s="776"/>
      <c r="E142" s="776"/>
      <c r="F142" s="776"/>
      <c r="G142" s="776"/>
      <c r="H142" s="776"/>
      <c r="I142" s="776"/>
      <c r="J142" s="776"/>
      <c r="K142" s="776"/>
      <c r="L142" s="776"/>
      <c r="M142" s="776"/>
      <c r="N142" s="776"/>
      <c r="O142" s="776"/>
      <c r="P142" s="776"/>
      <c r="Q142" s="777"/>
    </row>
    <row r="143" spans="1:17" s="138" customFormat="1" ht="11.25" customHeight="1">
      <c r="A143" s="266"/>
      <c r="B143" s="275" t="s">
        <v>751</v>
      </c>
      <c r="C143" s="775"/>
      <c r="D143" s="776"/>
      <c r="E143" s="776"/>
      <c r="F143" s="776"/>
      <c r="G143" s="776"/>
      <c r="H143" s="776"/>
      <c r="I143" s="776"/>
      <c r="J143" s="776"/>
      <c r="K143" s="776"/>
      <c r="L143" s="776"/>
      <c r="M143" s="776"/>
      <c r="N143" s="776"/>
      <c r="O143" s="776"/>
      <c r="P143" s="776"/>
      <c r="Q143" s="777"/>
    </row>
    <row r="144" spans="1:17" s="138" customFormat="1" ht="11.25" customHeight="1">
      <c r="A144" s="266"/>
      <c r="B144" s="276" t="s">
        <v>752</v>
      </c>
      <c r="C144" s="778"/>
      <c r="D144" s="779"/>
      <c r="E144" s="779"/>
      <c r="F144" s="779"/>
      <c r="G144" s="779"/>
      <c r="H144" s="779"/>
      <c r="I144" s="779"/>
      <c r="J144" s="779"/>
      <c r="K144" s="779"/>
      <c r="L144" s="779"/>
      <c r="M144" s="779"/>
      <c r="N144" s="779"/>
      <c r="O144" s="779"/>
      <c r="P144" s="779"/>
      <c r="Q144" s="780"/>
    </row>
    <row r="145" spans="1:17" s="138" customFormat="1" ht="12.75">
      <c r="A145" s="266"/>
      <c r="B145" s="278" t="s">
        <v>753</v>
      </c>
      <c r="C145" s="34"/>
      <c r="D145" s="141" t="s">
        <v>480</v>
      </c>
      <c r="E145" s="140">
        <f>E164+E165+E166</f>
        <v>307425</v>
      </c>
      <c r="F145" s="140">
        <f aca="true" t="shared" si="49" ref="F145:Q145">F164+F165+F166</f>
        <v>16573</v>
      </c>
      <c r="G145" s="140">
        <f t="shared" si="49"/>
        <v>93914</v>
      </c>
      <c r="H145" s="140">
        <f t="shared" si="49"/>
        <v>110487</v>
      </c>
      <c r="I145" s="140">
        <f>I164+I165+I166</f>
        <v>16573</v>
      </c>
      <c r="J145" s="140">
        <f t="shared" si="49"/>
        <v>0</v>
      </c>
      <c r="K145" s="140">
        <f t="shared" si="49"/>
        <v>0</v>
      </c>
      <c r="L145" s="140">
        <f t="shared" si="49"/>
        <v>16573</v>
      </c>
      <c r="M145" s="140">
        <f t="shared" si="49"/>
        <v>93914</v>
      </c>
      <c r="N145" s="140">
        <f t="shared" si="49"/>
        <v>0</v>
      </c>
      <c r="O145" s="140">
        <f t="shared" si="49"/>
        <v>0</v>
      </c>
      <c r="P145" s="140">
        <f t="shared" si="49"/>
        <v>0</v>
      </c>
      <c r="Q145" s="140">
        <f t="shared" si="49"/>
        <v>93914</v>
      </c>
    </row>
    <row r="146" spans="1:17" s="138" customFormat="1" ht="33.75">
      <c r="A146" s="266"/>
      <c r="B146" s="79" t="s">
        <v>234</v>
      </c>
      <c r="C146" s="34"/>
      <c r="D146" s="261">
        <v>4118</v>
      </c>
      <c r="E146" s="140">
        <f aca="true" t="shared" si="50" ref="E146:E163">F146+G146</f>
        <v>9155</v>
      </c>
      <c r="F146" s="140">
        <f>I146</f>
        <v>0</v>
      </c>
      <c r="G146" s="253">
        <f>M146</f>
        <v>9155</v>
      </c>
      <c r="H146" s="140">
        <f>I146+M146</f>
        <v>9155</v>
      </c>
      <c r="I146" s="140">
        <f>SUM(J146:L146)</f>
        <v>0</v>
      </c>
      <c r="J146" s="140"/>
      <c r="K146" s="140"/>
      <c r="L146" s="140"/>
      <c r="M146" s="140">
        <f>SUM(N146:Q146)</f>
        <v>9155</v>
      </c>
      <c r="N146" s="140"/>
      <c r="O146" s="140"/>
      <c r="P146" s="140"/>
      <c r="Q146" s="552">
        <v>9155</v>
      </c>
    </row>
    <row r="147" spans="1:17" s="138" customFormat="1" ht="33.75">
      <c r="A147" s="266"/>
      <c r="B147" s="79" t="s">
        <v>234</v>
      </c>
      <c r="C147" s="34"/>
      <c r="D147" s="261">
        <v>4119</v>
      </c>
      <c r="E147" s="140">
        <f t="shared" si="50"/>
        <v>1616</v>
      </c>
      <c r="F147" s="140">
        <f aca="true" t="shared" si="51" ref="F147:F163">I147</f>
        <v>1616</v>
      </c>
      <c r="G147" s="253"/>
      <c r="H147" s="140">
        <f aca="true" t="shared" si="52" ref="H147:H163">I147+M147</f>
        <v>1616</v>
      </c>
      <c r="I147" s="140">
        <f aca="true" t="shared" si="53" ref="I147:I163">SUM(J147:L147)</f>
        <v>1616</v>
      </c>
      <c r="J147" s="140"/>
      <c r="K147" s="140"/>
      <c r="L147" s="552">
        <v>1616</v>
      </c>
      <c r="M147" s="140">
        <f aca="true" t="shared" si="54" ref="M147:M163">SUM(N147:Q147)</f>
        <v>0</v>
      </c>
      <c r="N147" s="140"/>
      <c r="O147" s="140"/>
      <c r="P147" s="140"/>
      <c r="Q147" s="253"/>
    </row>
    <row r="148" spans="1:17" s="138" customFormat="1" ht="22.5">
      <c r="A148" s="266"/>
      <c r="B148" s="79" t="s">
        <v>236</v>
      </c>
      <c r="C148" s="34"/>
      <c r="D148" s="261">
        <v>4128</v>
      </c>
      <c r="E148" s="140">
        <f t="shared" si="50"/>
        <v>1462</v>
      </c>
      <c r="F148" s="140">
        <f t="shared" si="51"/>
        <v>0</v>
      </c>
      <c r="G148" s="253">
        <f>M148</f>
        <v>1462</v>
      </c>
      <c r="H148" s="140">
        <f t="shared" si="52"/>
        <v>1462</v>
      </c>
      <c r="I148" s="140">
        <f t="shared" si="53"/>
        <v>0</v>
      </c>
      <c r="J148" s="140"/>
      <c r="K148" s="140"/>
      <c r="L148" s="140"/>
      <c r="M148" s="140">
        <f t="shared" si="54"/>
        <v>1462</v>
      </c>
      <c r="N148" s="140"/>
      <c r="O148" s="140"/>
      <c r="P148" s="140"/>
      <c r="Q148" s="552">
        <v>1462</v>
      </c>
    </row>
    <row r="149" spans="1:17" s="138" customFormat="1" ht="22.5">
      <c r="A149" s="266"/>
      <c r="B149" s="79" t="s">
        <v>236</v>
      </c>
      <c r="C149" s="34"/>
      <c r="D149" s="261">
        <v>4129</v>
      </c>
      <c r="E149" s="140">
        <f t="shared" si="50"/>
        <v>258</v>
      </c>
      <c r="F149" s="140">
        <f t="shared" si="51"/>
        <v>258</v>
      </c>
      <c r="G149" s="253"/>
      <c r="H149" s="140">
        <f t="shared" si="52"/>
        <v>258</v>
      </c>
      <c r="I149" s="140">
        <f t="shared" si="53"/>
        <v>258</v>
      </c>
      <c r="J149" s="140"/>
      <c r="K149" s="140"/>
      <c r="L149" s="552">
        <v>258</v>
      </c>
      <c r="M149" s="140">
        <f t="shared" si="54"/>
        <v>0</v>
      </c>
      <c r="N149" s="140"/>
      <c r="O149" s="140"/>
      <c r="P149" s="140"/>
      <c r="Q149" s="253"/>
    </row>
    <row r="150" spans="1:17" s="138" customFormat="1" ht="33.75">
      <c r="A150" s="266"/>
      <c r="B150" s="79" t="s">
        <v>569</v>
      </c>
      <c r="C150" s="34"/>
      <c r="D150" s="261">
        <v>4018</v>
      </c>
      <c r="E150" s="140">
        <f>F150+G150</f>
        <v>5355</v>
      </c>
      <c r="F150" s="140">
        <f>I150</f>
        <v>0</v>
      </c>
      <c r="G150" s="253">
        <f>M150</f>
        <v>5355</v>
      </c>
      <c r="H150" s="140">
        <f>I150+M150</f>
        <v>5355</v>
      </c>
      <c r="I150" s="140">
        <f>SUM(J150:L150)</f>
        <v>0</v>
      </c>
      <c r="J150" s="140"/>
      <c r="K150" s="140"/>
      <c r="L150" s="140"/>
      <c r="M150" s="140">
        <f>SUM(N150:Q150)</f>
        <v>5355</v>
      </c>
      <c r="N150" s="140"/>
      <c r="O150" s="140"/>
      <c r="P150" s="140"/>
      <c r="Q150" s="552">
        <v>5355</v>
      </c>
    </row>
    <row r="151" spans="1:17" s="138" customFormat="1" ht="33.75">
      <c r="A151" s="266"/>
      <c r="B151" s="79" t="s">
        <v>569</v>
      </c>
      <c r="C151" s="34"/>
      <c r="D151" s="261">
        <v>4019</v>
      </c>
      <c r="E151" s="140">
        <f>F151+G151</f>
        <v>945</v>
      </c>
      <c r="F151" s="140">
        <f>I151</f>
        <v>945</v>
      </c>
      <c r="G151" s="253"/>
      <c r="H151" s="140">
        <f>I151+M151</f>
        <v>945</v>
      </c>
      <c r="I151" s="140">
        <f>SUM(J151:L151)</f>
        <v>945</v>
      </c>
      <c r="J151" s="140"/>
      <c r="K151" s="140"/>
      <c r="L151" s="552">
        <v>945</v>
      </c>
      <c r="M151" s="140">
        <f>SUM(N151:Q151)</f>
        <v>0</v>
      </c>
      <c r="N151" s="140"/>
      <c r="O151" s="140"/>
      <c r="P151" s="140"/>
      <c r="Q151" s="253"/>
    </row>
    <row r="152" spans="1:17" s="138" customFormat="1" ht="22.5">
      <c r="A152" s="266"/>
      <c r="B152" s="79" t="s">
        <v>425</v>
      </c>
      <c r="C152" s="34"/>
      <c r="D152" s="261">
        <v>4178</v>
      </c>
      <c r="E152" s="140">
        <f t="shared" si="50"/>
        <v>54327</v>
      </c>
      <c r="F152" s="140">
        <f t="shared" si="51"/>
        <v>0</v>
      </c>
      <c r="G152" s="253">
        <f>M152</f>
        <v>54327</v>
      </c>
      <c r="H152" s="140">
        <f t="shared" si="52"/>
        <v>54327</v>
      </c>
      <c r="I152" s="140">
        <f t="shared" si="53"/>
        <v>0</v>
      </c>
      <c r="J152" s="140"/>
      <c r="K152" s="140"/>
      <c r="L152" s="140"/>
      <c r="M152" s="140">
        <f t="shared" si="54"/>
        <v>54327</v>
      </c>
      <c r="N152" s="140"/>
      <c r="O152" s="140"/>
      <c r="P152" s="140"/>
      <c r="Q152" s="552">
        <v>54327</v>
      </c>
    </row>
    <row r="153" spans="1:17" s="138" customFormat="1" ht="22.5">
      <c r="A153" s="266"/>
      <c r="B153" s="79" t="s">
        <v>425</v>
      </c>
      <c r="C153" s="34"/>
      <c r="D153" s="261">
        <v>4179</v>
      </c>
      <c r="E153" s="140">
        <f t="shared" si="50"/>
        <v>9587</v>
      </c>
      <c r="F153" s="140">
        <f t="shared" si="51"/>
        <v>9587</v>
      </c>
      <c r="G153" s="253"/>
      <c r="H153" s="140">
        <f t="shared" si="52"/>
        <v>9587</v>
      </c>
      <c r="I153" s="140">
        <f t="shared" si="53"/>
        <v>9587</v>
      </c>
      <c r="J153" s="140"/>
      <c r="K153" s="140"/>
      <c r="L153" s="552">
        <v>9587</v>
      </c>
      <c r="M153" s="140">
        <f t="shared" si="54"/>
        <v>0</v>
      </c>
      <c r="N153" s="140"/>
      <c r="O153" s="140"/>
      <c r="P153" s="140"/>
      <c r="Q153" s="253"/>
    </row>
    <row r="154" spans="1:17" s="138" customFormat="1" ht="22.5">
      <c r="A154" s="266"/>
      <c r="B154" s="79" t="s">
        <v>107</v>
      </c>
      <c r="C154" s="34"/>
      <c r="D154" s="261">
        <v>4218</v>
      </c>
      <c r="E154" s="140">
        <f t="shared" si="50"/>
        <v>6306</v>
      </c>
      <c r="F154" s="140">
        <f t="shared" si="51"/>
        <v>0</v>
      </c>
      <c r="G154" s="253">
        <f>M154</f>
        <v>6306</v>
      </c>
      <c r="H154" s="140">
        <f t="shared" si="52"/>
        <v>6306</v>
      </c>
      <c r="I154" s="140">
        <f t="shared" si="53"/>
        <v>0</v>
      </c>
      <c r="J154" s="140"/>
      <c r="K154" s="140"/>
      <c r="L154" s="140"/>
      <c r="M154" s="140">
        <f t="shared" si="54"/>
        <v>6306</v>
      </c>
      <c r="N154" s="140"/>
      <c r="O154" s="140"/>
      <c r="P154" s="140"/>
      <c r="Q154" s="552">
        <v>6306</v>
      </c>
    </row>
    <row r="155" spans="1:17" s="138" customFormat="1" ht="22.5">
      <c r="A155" s="266"/>
      <c r="B155" s="79" t="s">
        <v>107</v>
      </c>
      <c r="C155" s="34"/>
      <c r="D155" s="261">
        <v>4219</v>
      </c>
      <c r="E155" s="140">
        <f t="shared" si="50"/>
        <v>1113</v>
      </c>
      <c r="F155" s="140">
        <f t="shared" si="51"/>
        <v>1113</v>
      </c>
      <c r="G155" s="253"/>
      <c r="H155" s="140">
        <f t="shared" si="52"/>
        <v>1113</v>
      </c>
      <c r="I155" s="140">
        <f t="shared" si="53"/>
        <v>1113</v>
      </c>
      <c r="J155" s="140"/>
      <c r="K155" s="140"/>
      <c r="L155" s="552">
        <v>1113</v>
      </c>
      <c r="M155" s="140">
        <f t="shared" si="54"/>
        <v>0</v>
      </c>
      <c r="N155" s="140"/>
      <c r="O155" s="140"/>
      <c r="P155" s="140"/>
      <c r="Q155" s="253"/>
    </row>
    <row r="156" spans="1:17" s="138" customFormat="1" ht="22.5">
      <c r="A156" s="266"/>
      <c r="B156" s="79" t="s">
        <v>198</v>
      </c>
      <c r="C156" s="34"/>
      <c r="D156" s="261">
        <v>4308</v>
      </c>
      <c r="E156" s="140">
        <f t="shared" si="50"/>
        <v>13742</v>
      </c>
      <c r="F156" s="140">
        <f t="shared" si="51"/>
        <v>0</v>
      </c>
      <c r="G156" s="253">
        <f>M156</f>
        <v>13742</v>
      </c>
      <c r="H156" s="140">
        <f t="shared" si="52"/>
        <v>13742</v>
      </c>
      <c r="I156" s="140">
        <f t="shared" si="53"/>
        <v>0</v>
      </c>
      <c r="J156" s="140"/>
      <c r="K156" s="140"/>
      <c r="L156" s="140"/>
      <c r="M156" s="140">
        <f t="shared" si="54"/>
        <v>13742</v>
      </c>
      <c r="N156" s="140"/>
      <c r="O156" s="140"/>
      <c r="P156" s="140"/>
      <c r="Q156" s="552">
        <v>13742</v>
      </c>
    </row>
    <row r="157" spans="1:17" s="138" customFormat="1" ht="22.5">
      <c r="A157" s="266"/>
      <c r="B157" s="79" t="s">
        <v>198</v>
      </c>
      <c r="C157" s="34"/>
      <c r="D157" s="261">
        <v>4309</v>
      </c>
      <c r="E157" s="140">
        <f t="shared" si="50"/>
        <v>2425</v>
      </c>
      <c r="F157" s="140">
        <f t="shared" si="51"/>
        <v>2425</v>
      </c>
      <c r="G157" s="253"/>
      <c r="H157" s="140">
        <f t="shared" si="52"/>
        <v>2425</v>
      </c>
      <c r="I157" s="140">
        <f t="shared" si="53"/>
        <v>2425</v>
      </c>
      <c r="J157" s="140"/>
      <c r="K157" s="140"/>
      <c r="L157" s="552">
        <v>2425</v>
      </c>
      <c r="M157" s="140">
        <f t="shared" si="54"/>
        <v>0</v>
      </c>
      <c r="N157" s="140"/>
      <c r="O157" s="140"/>
      <c r="P157" s="140"/>
      <c r="Q157" s="253"/>
    </row>
    <row r="158" spans="1:17" s="138" customFormat="1" ht="67.5">
      <c r="A158" s="266"/>
      <c r="B158" s="79" t="s">
        <v>199</v>
      </c>
      <c r="C158" s="34"/>
      <c r="D158" s="261">
        <v>4748</v>
      </c>
      <c r="E158" s="140">
        <f t="shared" si="50"/>
        <v>850</v>
      </c>
      <c r="F158" s="140"/>
      <c r="G158" s="253">
        <f>M158</f>
        <v>850</v>
      </c>
      <c r="H158" s="140">
        <f t="shared" si="52"/>
        <v>850</v>
      </c>
      <c r="I158" s="140">
        <f>SUM(J158:L158)</f>
        <v>0</v>
      </c>
      <c r="J158" s="140"/>
      <c r="K158" s="140"/>
      <c r="L158" s="140"/>
      <c r="M158" s="140">
        <f t="shared" si="54"/>
        <v>850</v>
      </c>
      <c r="N158" s="140"/>
      <c r="O158" s="140"/>
      <c r="P158" s="140"/>
      <c r="Q158" s="552">
        <v>850</v>
      </c>
    </row>
    <row r="159" spans="1:17" s="138" customFormat="1" ht="67.5">
      <c r="A159" s="266"/>
      <c r="B159" s="79" t="s">
        <v>199</v>
      </c>
      <c r="C159" s="34"/>
      <c r="D159" s="261">
        <v>4749</v>
      </c>
      <c r="E159" s="140">
        <f t="shared" si="50"/>
        <v>150</v>
      </c>
      <c r="F159" s="140">
        <f>H159</f>
        <v>150</v>
      </c>
      <c r="G159" s="253"/>
      <c r="H159" s="140">
        <f t="shared" si="52"/>
        <v>150</v>
      </c>
      <c r="I159" s="140">
        <f>SUM(J159:L159)</f>
        <v>150</v>
      </c>
      <c r="J159" s="140"/>
      <c r="K159" s="140"/>
      <c r="L159" s="552">
        <v>150</v>
      </c>
      <c r="M159" s="140">
        <f t="shared" si="54"/>
        <v>0</v>
      </c>
      <c r="N159" s="140"/>
      <c r="O159" s="140"/>
      <c r="P159" s="140"/>
      <c r="Q159" s="253"/>
    </row>
    <row r="160" spans="1:17" s="138" customFormat="1" ht="45">
      <c r="A160" s="266"/>
      <c r="B160" s="79" t="s">
        <v>239</v>
      </c>
      <c r="C160" s="34"/>
      <c r="D160" s="261">
        <v>4758</v>
      </c>
      <c r="E160" s="140">
        <f t="shared" si="50"/>
        <v>850</v>
      </c>
      <c r="F160" s="140">
        <f>I160</f>
        <v>0</v>
      </c>
      <c r="G160" s="253">
        <f>M160</f>
        <v>850</v>
      </c>
      <c r="H160" s="140">
        <f t="shared" si="52"/>
        <v>850</v>
      </c>
      <c r="I160" s="140">
        <f>SUM(J160:L160)</f>
        <v>0</v>
      </c>
      <c r="J160" s="140"/>
      <c r="K160" s="140"/>
      <c r="L160" s="140"/>
      <c r="M160" s="140">
        <f t="shared" si="54"/>
        <v>850</v>
      </c>
      <c r="N160" s="140"/>
      <c r="O160" s="140"/>
      <c r="P160" s="140"/>
      <c r="Q160" s="552">
        <v>850</v>
      </c>
    </row>
    <row r="161" spans="1:17" s="138" customFormat="1" ht="45">
      <c r="A161" s="266"/>
      <c r="B161" s="79" t="s">
        <v>239</v>
      </c>
      <c r="C161" s="34"/>
      <c r="D161" s="261">
        <v>4759</v>
      </c>
      <c r="E161" s="140">
        <f t="shared" si="50"/>
        <v>150</v>
      </c>
      <c r="F161" s="140">
        <f>I161</f>
        <v>150</v>
      </c>
      <c r="G161" s="253">
        <f>M161</f>
        <v>0</v>
      </c>
      <c r="H161" s="140">
        <f t="shared" si="52"/>
        <v>150</v>
      </c>
      <c r="I161" s="140">
        <f>SUM(J161:L161)</f>
        <v>150</v>
      </c>
      <c r="J161" s="140"/>
      <c r="K161" s="140"/>
      <c r="L161" s="552">
        <v>150</v>
      </c>
      <c r="M161" s="140">
        <f t="shared" si="54"/>
        <v>0</v>
      </c>
      <c r="N161" s="140"/>
      <c r="O161" s="140"/>
      <c r="P161" s="140"/>
      <c r="Q161" s="253"/>
    </row>
    <row r="162" spans="1:17" s="138" customFormat="1" ht="56.25">
      <c r="A162" s="266"/>
      <c r="B162" s="397" t="s">
        <v>245</v>
      </c>
      <c r="C162" s="34"/>
      <c r="D162" s="261">
        <v>4368</v>
      </c>
      <c r="E162" s="140">
        <f t="shared" si="50"/>
        <v>1867</v>
      </c>
      <c r="F162" s="140">
        <f t="shared" si="51"/>
        <v>0</v>
      </c>
      <c r="G162" s="253">
        <f>M162</f>
        <v>1867</v>
      </c>
      <c r="H162" s="140">
        <f t="shared" si="52"/>
        <v>1867</v>
      </c>
      <c r="I162" s="140">
        <f t="shared" si="53"/>
        <v>0</v>
      </c>
      <c r="J162" s="140"/>
      <c r="K162" s="140"/>
      <c r="L162" s="140"/>
      <c r="M162" s="140">
        <f t="shared" si="54"/>
        <v>1867</v>
      </c>
      <c r="N162" s="140"/>
      <c r="O162" s="140"/>
      <c r="P162" s="140"/>
      <c r="Q162" s="552">
        <v>1867</v>
      </c>
    </row>
    <row r="163" spans="1:17" s="138" customFormat="1" ht="56.25">
      <c r="A163" s="266"/>
      <c r="B163" s="397" t="s">
        <v>245</v>
      </c>
      <c r="C163" s="34"/>
      <c r="D163" s="261">
        <v>4369</v>
      </c>
      <c r="E163" s="140">
        <f t="shared" si="50"/>
        <v>329</v>
      </c>
      <c r="F163" s="140">
        <f t="shared" si="51"/>
        <v>329</v>
      </c>
      <c r="G163" s="253"/>
      <c r="H163" s="140">
        <f t="shared" si="52"/>
        <v>329</v>
      </c>
      <c r="I163" s="140">
        <f t="shared" si="53"/>
        <v>329</v>
      </c>
      <c r="J163" s="140"/>
      <c r="K163" s="140"/>
      <c r="L163" s="552">
        <v>329</v>
      </c>
      <c r="M163" s="140">
        <f t="shared" si="54"/>
        <v>0</v>
      </c>
      <c r="N163" s="140"/>
      <c r="O163" s="140"/>
      <c r="P163" s="140"/>
      <c r="Q163" s="253"/>
    </row>
    <row r="164" spans="1:17" s="139" customFormat="1" ht="11.25">
      <c r="A164" s="554"/>
      <c r="B164" s="278">
        <v>2010</v>
      </c>
      <c r="C164" s="555"/>
      <c r="D164" s="555"/>
      <c r="E164" s="137">
        <f>F164+G164</f>
        <v>110487</v>
      </c>
      <c r="F164" s="137">
        <f>SUM(F146:F163)</f>
        <v>16573</v>
      </c>
      <c r="G164" s="137">
        <f>SUM(G146:G163)</f>
        <v>93914</v>
      </c>
      <c r="H164" s="137">
        <f>I164+M164</f>
        <v>110487</v>
      </c>
      <c r="I164" s="137">
        <f>SUM(J164:L164)</f>
        <v>16573</v>
      </c>
      <c r="J164" s="137">
        <f>SUM(J146:J163)</f>
        <v>0</v>
      </c>
      <c r="K164" s="137">
        <f>SUM(K146:K163)</f>
        <v>0</v>
      </c>
      <c r="L164" s="137">
        <f>SUM(L146:L163)</f>
        <v>16573</v>
      </c>
      <c r="M164" s="137">
        <f>N164+O164+P164+Q164</f>
        <v>93914</v>
      </c>
      <c r="N164" s="137">
        <f>SUM(N146:N163)</f>
        <v>0</v>
      </c>
      <c r="O164" s="137">
        <f>SUM(O146:O163)</f>
        <v>0</v>
      </c>
      <c r="P164" s="137">
        <f>SUM(P146:P163)</f>
        <v>0</v>
      </c>
      <c r="Q164" s="137">
        <f>SUM(Q146:Q163)</f>
        <v>93914</v>
      </c>
    </row>
    <row r="165" spans="1:17" s="138" customFormat="1" ht="11.25">
      <c r="A165" s="266"/>
      <c r="B165" s="557" t="s">
        <v>191</v>
      </c>
      <c r="C165" s="136"/>
      <c r="D165" s="136"/>
      <c r="E165" s="135">
        <v>196938</v>
      </c>
      <c r="F165" s="135"/>
      <c r="G165" s="133"/>
      <c r="H165" s="135"/>
      <c r="I165" s="135"/>
      <c r="J165" s="136"/>
      <c r="K165" s="136"/>
      <c r="L165" s="242"/>
      <c r="M165" s="135"/>
      <c r="N165" s="136"/>
      <c r="O165" s="136"/>
      <c r="P165" s="136"/>
      <c r="Q165" s="136"/>
    </row>
    <row r="166" spans="1:17" s="138" customFormat="1" ht="11.25">
      <c r="A166" s="266"/>
      <c r="B166" s="134"/>
      <c r="C166" s="136"/>
      <c r="D166" s="136"/>
      <c r="E166" s="135">
        <f>F166+G166</f>
        <v>0</v>
      </c>
      <c r="F166" s="135"/>
      <c r="G166" s="133"/>
      <c r="H166" s="135"/>
      <c r="I166" s="135"/>
      <c r="J166" s="136"/>
      <c r="K166" s="136"/>
      <c r="L166" s="242"/>
      <c r="M166" s="135"/>
      <c r="N166" s="136"/>
      <c r="O166" s="136"/>
      <c r="P166" s="136"/>
      <c r="Q166" s="136"/>
    </row>
    <row r="167" spans="1:17" s="138" customFormat="1" ht="11.25" customHeight="1">
      <c r="A167" s="266" t="s">
        <v>424</v>
      </c>
      <c r="B167" s="277" t="s">
        <v>749</v>
      </c>
      <c r="C167" s="784" t="s">
        <v>805</v>
      </c>
      <c r="D167" s="785"/>
      <c r="E167" s="785"/>
      <c r="F167" s="785"/>
      <c r="G167" s="785"/>
      <c r="H167" s="785"/>
      <c r="I167" s="785"/>
      <c r="J167" s="785"/>
      <c r="K167" s="785"/>
      <c r="L167" s="785"/>
      <c r="M167" s="785"/>
      <c r="N167" s="785"/>
      <c r="O167" s="785"/>
      <c r="P167" s="785"/>
      <c r="Q167" s="786"/>
    </row>
    <row r="168" spans="1:17" s="138" customFormat="1" ht="11.25" customHeight="1">
      <c r="A168" s="266"/>
      <c r="B168" s="275" t="s">
        <v>750</v>
      </c>
      <c r="C168" s="775"/>
      <c r="D168" s="776"/>
      <c r="E168" s="776"/>
      <c r="F168" s="776"/>
      <c r="G168" s="776"/>
      <c r="H168" s="776"/>
      <c r="I168" s="776"/>
      <c r="J168" s="776"/>
      <c r="K168" s="776"/>
      <c r="L168" s="776"/>
      <c r="M168" s="776"/>
      <c r="N168" s="776"/>
      <c r="O168" s="776"/>
      <c r="P168" s="776"/>
      <c r="Q168" s="777"/>
    </row>
    <row r="169" spans="1:17" s="138" customFormat="1" ht="11.25" customHeight="1">
      <c r="A169" s="266"/>
      <c r="B169" s="275" t="s">
        <v>751</v>
      </c>
      <c r="C169" s="775"/>
      <c r="D169" s="776"/>
      <c r="E169" s="776"/>
      <c r="F169" s="776"/>
      <c r="G169" s="776"/>
      <c r="H169" s="776"/>
      <c r="I169" s="776"/>
      <c r="J169" s="776"/>
      <c r="K169" s="776"/>
      <c r="L169" s="776"/>
      <c r="M169" s="776"/>
      <c r="N169" s="776"/>
      <c r="O169" s="776"/>
      <c r="P169" s="776"/>
      <c r="Q169" s="777"/>
    </row>
    <row r="170" spans="1:17" s="138" customFormat="1" ht="51" customHeight="1">
      <c r="A170" s="266"/>
      <c r="B170" s="276" t="s">
        <v>752</v>
      </c>
      <c r="C170" s="778"/>
      <c r="D170" s="779"/>
      <c r="E170" s="779"/>
      <c r="F170" s="779"/>
      <c r="G170" s="779"/>
      <c r="H170" s="779"/>
      <c r="I170" s="779"/>
      <c r="J170" s="779"/>
      <c r="K170" s="779"/>
      <c r="L170" s="779"/>
      <c r="M170" s="779"/>
      <c r="N170" s="779"/>
      <c r="O170" s="779"/>
      <c r="P170" s="779"/>
      <c r="Q170" s="780"/>
    </row>
    <row r="171" spans="1:17" s="138" customFormat="1" ht="12.75">
      <c r="A171" s="266"/>
      <c r="B171" s="278" t="s">
        <v>753</v>
      </c>
      <c r="C171" s="34"/>
      <c r="D171" s="141" t="s">
        <v>480</v>
      </c>
      <c r="E171" s="140">
        <f>E196+E197</f>
        <v>1972731.05</v>
      </c>
      <c r="F171" s="140">
        <f aca="true" t="shared" si="55" ref="F171:Q171">F196+F197</f>
        <v>212868</v>
      </c>
      <c r="G171" s="140">
        <f t="shared" si="55"/>
        <v>1206250</v>
      </c>
      <c r="H171" s="140">
        <f t="shared" si="55"/>
        <v>1419118</v>
      </c>
      <c r="I171" s="140">
        <f t="shared" si="55"/>
        <v>212868</v>
      </c>
      <c r="J171" s="140">
        <f t="shared" si="55"/>
        <v>0</v>
      </c>
      <c r="K171" s="140">
        <f t="shared" si="55"/>
        <v>0</v>
      </c>
      <c r="L171" s="117">
        <f t="shared" si="55"/>
        <v>212868</v>
      </c>
      <c r="M171" s="117">
        <f t="shared" si="55"/>
        <v>1206250</v>
      </c>
      <c r="N171" s="117">
        <f t="shared" si="55"/>
        <v>0</v>
      </c>
      <c r="O171" s="117">
        <f t="shared" si="55"/>
        <v>0</v>
      </c>
      <c r="P171" s="117">
        <f t="shared" si="55"/>
        <v>0</v>
      </c>
      <c r="Q171" s="117">
        <f t="shared" si="55"/>
        <v>1206250</v>
      </c>
    </row>
    <row r="172" spans="1:17" s="138" customFormat="1" ht="33.75">
      <c r="A172" s="266"/>
      <c r="B172" s="79" t="s">
        <v>569</v>
      </c>
      <c r="C172" s="34"/>
      <c r="D172" s="261">
        <v>4018</v>
      </c>
      <c r="E172" s="140">
        <f aca="true" t="shared" si="56" ref="E172:E193">F172+G172</f>
        <v>43296</v>
      </c>
      <c r="F172" s="140">
        <f>I172</f>
        <v>0</v>
      </c>
      <c r="G172" s="253">
        <f>M172</f>
        <v>43296</v>
      </c>
      <c r="H172" s="140"/>
      <c r="I172" s="140">
        <f>SUM(J172:L172)</f>
        <v>0</v>
      </c>
      <c r="J172" s="140"/>
      <c r="K172" s="140"/>
      <c r="L172" s="117"/>
      <c r="M172" s="117">
        <f>SUM(N172:Q172)</f>
        <v>43296</v>
      </c>
      <c r="N172" s="117"/>
      <c r="O172" s="117"/>
      <c r="P172" s="117"/>
      <c r="Q172" s="78">
        <v>43296</v>
      </c>
    </row>
    <row r="173" spans="1:17" s="138" customFormat="1" ht="33.75">
      <c r="A173" s="266"/>
      <c r="B173" s="79" t="s">
        <v>569</v>
      </c>
      <c r="C173" s="34"/>
      <c r="D173" s="261">
        <v>4019</v>
      </c>
      <c r="E173" s="140">
        <f t="shared" si="56"/>
        <v>7640</v>
      </c>
      <c r="F173" s="140">
        <f aca="true" t="shared" si="57" ref="F173:F193">I173</f>
        <v>7640</v>
      </c>
      <c r="G173" s="253">
        <f aca="true" t="shared" si="58" ref="G173:G193">M173</f>
        <v>0</v>
      </c>
      <c r="H173" s="140">
        <f>I173+M173</f>
        <v>7640</v>
      </c>
      <c r="I173" s="140">
        <f aca="true" t="shared" si="59" ref="I173:I193">SUM(J173:L173)</f>
        <v>7640</v>
      </c>
      <c r="J173" s="140"/>
      <c r="K173" s="140"/>
      <c r="L173" s="78">
        <v>7640</v>
      </c>
      <c r="M173" s="117">
        <f aca="true" t="shared" si="60" ref="M173:M193">SUM(N173:Q173)</f>
        <v>0</v>
      </c>
      <c r="N173" s="117"/>
      <c r="O173" s="117"/>
      <c r="P173" s="117"/>
      <c r="Q173" s="253"/>
    </row>
    <row r="174" spans="1:17" s="138" customFormat="1" ht="33.75">
      <c r="A174" s="266"/>
      <c r="B174" s="79" t="s">
        <v>234</v>
      </c>
      <c r="C174" s="34"/>
      <c r="D174" s="261">
        <v>4118</v>
      </c>
      <c r="E174" s="140">
        <f>F174+G174</f>
        <v>10118</v>
      </c>
      <c r="F174" s="140">
        <f>I174</f>
        <v>0</v>
      </c>
      <c r="G174" s="253">
        <f>M174</f>
        <v>10118</v>
      </c>
      <c r="H174" s="140"/>
      <c r="I174" s="140">
        <f>SUM(J174:L174)</f>
        <v>0</v>
      </c>
      <c r="J174" s="117"/>
      <c r="K174" s="117"/>
      <c r="L174" s="124"/>
      <c r="M174" s="117">
        <f>SUM(N174:Q174)</f>
        <v>10118</v>
      </c>
      <c r="N174" s="117"/>
      <c r="O174" s="117"/>
      <c r="P174" s="117"/>
      <c r="Q174" s="78">
        <v>10118</v>
      </c>
    </row>
    <row r="175" spans="1:17" s="138" customFormat="1" ht="33.75">
      <c r="A175" s="266"/>
      <c r="B175" s="79" t="s">
        <v>234</v>
      </c>
      <c r="C175" s="34"/>
      <c r="D175" s="261">
        <v>4119</v>
      </c>
      <c r="E175" s="140">
        <f>F175+G175</f>
        <v>1785</v>
      </c>
      <c r="F175" s="140">
        <f>I175</f>
        <v>1785</v>
      </c>
      <c r="G175" s="253">
        <f>M175</f>
        <v>0</v>
      </c>
      <c r="H175" s="140">
        <f>I175+M175</f>
        <v>1785</v>
      </c>
      <c r="I175" s="140">
        <f>SUM(J175:L175)</f>
        <v>1785</v>
      </c>
      <c r="J175" s="117"/>
      <c r="K175" s="117"/>
      <c r="L175" s="559">
        <v>1785</v>
      </c>
      <c r="M175" s="140">
        <f>SUM(N175:Q175)</f>
        <v>0</v>
      </c>
      <c r="N175" s="140"/>
      <c r="O175" s="140"/>
      <c r="P175" s="140"/>
      <c r="Q175" s="253"/>
    </row>
    <row r="176" spans="1:17" s="138" customFormat="1" ht="22.5">
      <c r="A176" s="266"/>
      <c r="B176" s="79" t="s">
        <v>196</v>
      </c>
      <c r="C176" s="34"/>
      <c r="D176" s="261">
        <v>4178</v>
      </c>
      <c r="E176" s="140">
        <f t="shared" si="56"/>
        <v>944937</v>
      </c>
      <c r="F176" s="140">
        <f t="shared" si="57"/>
        <v>0</v>
      </c>
      <c r="G176" s="253">
        <f t="shared" si="58"/>
        <v>944937</v>
      </c>
      <c r="H176" s="140">
        <f aca="true" t="shared" si="61" ref="H176:H193">I176+M176</f>
        <v>944937</v>
      </c>
      <c r="I176" s="140">
        <f t="shared" si="59"/>
        <v>0</v>
      </c>
      <c r="J176" s="140"/>
      <c r="K176" s="140"/>
      <c r="L176" s="140"/>
      <c r="M176" s="140">
        <f t="shared" si="60"/>
        <v>944937</v>
      </c>
      <c r="N176" s="140"/>
      <c r="O176" s="140"/>
      <c r="P176" s="140"/>
      <c r="Q176" s="558">
        <v>944937</v>
      </c>
    </row>
    <row r="177" spans="1:17" s="138" customFormat="1" ht="22.5">
      <c r="A177" s="266"/>
      <c r="B177" s="79" t="s">
        <v>196</v>
      </c>
      <c r="C177" s="34"/>
      <c r="D177" s="261">
        <v>4179</v>
      </c>
      <c r="E177" s="140">
        <f t="shared" si="56"/>
        <v>166754</v>
      </c>
      <c r="F177" s="140">
        <f t="shared" si="57"/>
        <v>166754</v>
      </c>
      <c r="G177" s="253">
        <f t="shared" si="58"/>
        <v>0</v>
      </c>
      <c r="H177" s="117">
        <f t="shared" si="61"/>
        <v>166754</v>
      </c>
      <c r="I177" s="117">
        <f t="shared" si="59"/>
        <v>166754</v>
      </c>
      <c r="J177" s="117"/>
      <c r="K177" s="117"/>
      <c r="L177" s="78">
        <v>166754</v>
      </c>
      <c r="M177" s="117">
        <f t="shared" si="60"/>
        <v>0</v>
      </c>
      <c r="N177" s="117"/>
      <c r="O177" s="117"/>
      <c r="P177" s="117"/>
      <c r="Q177" s="253"/>
    </row>
    <row r="178" spans="1:17" s="138" customFormat="1" ht="22.5">
      <c r="A178" s="266"/>
      <c r="B178" s="79" t="s">
        <v>236</v>
      </c>
      <c r="C178" s="34"/>
      <c r="D178" s="560">
        <v>4128</v>
      </c>
      <c r="E178" s="140">
        <f>F178+G178</f>
        <v>1632</v>
      </c>
      <c r="F178" s="140">
        <f>I178</f>
        <v>0</v>
      </c>
      <c r="G178" s="253">
        <f>M178</f>
        <v>1632</v>
      </c>
      <c r="H178" s="117">
        <f>I178+M178</f>
        <v>1632</v>
      </c>
      <c r="I178" s="117">
        <f>SUM(J178:L178)</f>
        <v>0</v>
      </c>
      <c r="J178" s="117"/>
      <c r="K178" s="117"/>
      <c r="L178" s="117"/>
      <c r="M178" s="117">
        <f>SUM(N178:Q178)</f>
        <v>1632</v>
      </c>
      <c r="N178" s="117"/>
      <c r="O178" s="117"/>
      <c r="P178" s="117"/>
      <c r="Q178" s="78">
        <v>1632</v>
      </c>
    </row>
    <row r="179" spans="1:17" s="138" customFormat="1" ht="22.5">
      <c r="A179" s="266"/>
      <c r="B179" s="79" t="s">
        <v>236</v>
      </c>
      <c r="C179" s="34"/>
      <c r="D179" s="261">
        <v>4129</v>
      </c>
      <c r="E179" s="140">
        <f>F179+G179</f>
        <v>288</v>
      </c>
      <c r="F179" s="140">
        <f>I179</f>
        <v>288</v>
      </c>
      <c r="G179" s="253">
        <f>M179</f>
        <v>0</v>
      </c>
      <c r="H179" s="117">
        <f>I179+M179</f>
        <v>288</v>
      </c>
      <c r="I179" s="117">
        <f>SUM(J179:L179)</f>
        <v>288</v>
      </c>
      <c r="J179" s="117"/>
      <c r="K179" s="117"/>
      <c r="L179" s="78">
        <v>288</v>
      </c>
      <c r="M179" s="117"/>
      <c r="N179" s="117"/>
      <c r="O179" s="117"/>
      <c r="P179" s="117"/>
      <c r="Q179" s="253"/>
    </row>
    <row r="180" spans="1:17" s="138" customFormat="1" ht="22.5">
      <c r="A180" s="266"/>
      <c r="B180" s="79" t="s">
        <v>107</v>
      </c>
      <c r="C180" s="34"/>
      <c r="D180" s="261">
        <v>4218</v>
      </c>
      <c r="E180" s="140">
        <f t="shared" si="56"/>
        <v>85719</v>
      </c>
      <c r="F180" s="140">
        <f t="shared" si="57"/>
        <v>0</v>
      </c>
      <c r="G180" s="253">
        <f t="shared" si="58"/>
        <v>85719</v>
      </c>
      <c r="H180" s="117">
        <f t="shared" si="61"/>
        <v>85719</v>
      </c>
      <c r="I180" s="117">
        <f t="shared" si="59"/>
        <v>0</v>
      </c>
      <c r="J180" s="117"/>
      <c r="K180" s="117"/>
      <c r="L180" s="117"/>
      <c r="M180" s="117">
        <f t="shared" si="60"/>
        <v>85719</v>
      </c>
      <c r="N180" s="117"/>
      <c r="O180" s="117"/>
      <c r="P180" s="117"/>
      <c r="Q180" s="78">
        <v>85719</v>
      </c>
    </row>
    <row r="181" spans="1:17" s="138" customFormat="1" ht="22.5">
      <c r="A181" s="266"/>
      <c r="B181" s="79" t="s">
        <v>107</v>
      </c>
      <c r="C181" s="34"/>
      <c r="D181" s="261">
        <v>4219</v>
      </c>
      <c r="E181" s="140">
        <f t="shared" si="56"/>
        <v>15128</v>
      </c>
      <c r="F181" s="140">
        <f t="shared" si="57"/>
        <v>15128</v>
      </c>
      <c r="G181" s="253">
        <f t="shared" si="58"/>
        <v>0</v>
      </c>
      <c r="H181" s="117">
        <f t="shared" si="61"/>
        <v>15128</v>
      </c>
      <c r="I181" s="117">
        <f t="shared" si="59"/>
        <v>15128</v>
      </c>
      <c r="J181" s="117"/>
      <c r="K181" s="117"/>
      <c r="L181" s="78">
        <v>15128</v>
      </c>
      <c r="M181" s="117">
        <f t="shared" si="60"/>
        <v>0</v>
      </c>
      <c r="N181" s="117"/>
      <c r="O181" s="117"/>
      <c r="P181" s="117"/>
      <c r="Q181" s="253"/>
    </row>
    <row r="182" spans="1:17" s="138" customFormat="1" ht="45">
      <c r="A182" s="266"/>
      <c r="B182" s="561" t="s">
        <v>237</v>
      </c>
      <c r="C182" s="34"/>
      <c r="D182" s="261">
        <v>4248</v>
      </c>
      <c r="E182" s="140">
        <f>F182+G182</f>
        <v>49363</v>
      </c>
      <c r="F182" s="140">
        <f>I182</f>
        <v>0</v>
      </c>
      <c r="G182" s="253">
        <f>M182</f>
        <v>49363</v>
      </c>
      <c r="H182" s="117">
        <f>I182+M182</f>
        <v>49363</v>
      </c>
      <c r="I182" s="117">
        <f>SUM(J182:L182)</f>
        <v>0</v>
      </c>
      <c r="J182" s="117"/>
      <c r="K182" s="117"/>
      <c r="L182" s="117"/>
      <c r="M182" s="117">
        <f>SUM(N182:Q182)</f>
        <v>49363</v>
      </c>
      <c r="N182" s="117"/>
      <c r="O182" s="117"/>
      <c r="P182" s="117"/>
      <c r="Q182" s="78">
        <v>49363</v>
      </c>
    </row>
    <row r="183" spans="1:17" s="138" customFormat="1" ht="45">
      <c r="A183" s="266"/>
      <c r="B183" s="561" t="s">
        <v>237</v>
      </c>
      <c r="C183" s="34"/>
      <c r="D183" s="261">
        <v>4249</v>
      </c>
      <c r="E183" s="140">
        <f>F183+G183</f>
        <v>8711</v>
      </c>
      <c r="F183" s="140">
        <f>I183</f>
        <v>8711</v>
      </c>
      <c r="G183" s="253">
        <f>M183</f>
        <v>0</v>
      </c>
      <c r="H183" s="117">
        <f>I183+M183</f>
        <v>8711</v>
      </c>
      <c r="I183" s="117">
        <f>SUM(J183:L183)</f>
        <v>8711</v>
      </c>
      <c r="J183" s="117"/>
      <c r="K183" s="117"/>
      <c r="L183" s="78">
        <v>8711</v>
      </c>
      <c r="M183" s="117">
        <f>SUM(N183:Q183)</f>
        <v>0</v>
      </c>
      <c r="N183" s="117"/>
      <c r="O183" s="117"/>
      <c r="P183" s="117"/>
      <c r="Q183" s="253"/>
    </row>
    <row r="184" spans="1:17" s="138" customFormat="1" ht="12.75">
      <c r="A184" s="266"/>
      <c r="B184" s="79" t="s">
        <v>426</v>
      </c>
      <c r="C184" s="34"/>
      <c r="D184" s="261">
        <v>4268</v>
      </c>
      <c r="E184" s="140">
        <f t="shared" si="56"/>
        <v>0</v>
      </c>
      <c r="F184" s="140">
        <f t="shared" si="57"/>
        <v>0</v>
      </c>
      <c r="G184" s="253">
        <f t="shared" si="58"/>
        <v>0</v>
      </c>
      <c r="H184" s="140">
        <f t="shared" si="61"/>
        <v>0</v>
      </c>
      <c r="I184" s="140">
        <f t="shared" si="59"/>
        <v>0</v>
      </c>
      <c r="J184" s="140"/>
      <c r="K184" s="140"/>
      <c r="L184" s="140"/>
      <c r="M184" s="140">
        <f t="shared" si="60"/>
        <v>0</v>
      </c>
      <c r="N184" s="140"/>
      <c r="O184" s="140"/>
      <c r="P184" s="140"/>
      <c r="Q184" s="253"/>
    </row>
    <row r="185" spans="1:17" s="138" customFormat="1" ht="12.75">
      <c r="A185" s="266"/>
      <c r="B185" s="79" t="s">
        <v>426</v>
      </c>
      <c r="C185" s="34"/>
      <c r="D185" s="261">
        <v>4269</v>
      </c>
      <c r="E185" s="140">
        <f t="shared" si="56"/>
        <v>0</v>
      </c>
      <c r="F185" s="140">
        <f t="shared" si="57"/>
        <v>0</v>
      </c>
      <c r="G185" s="253">
        <f t="shared" si="58"/>
        <v>0</v>
      </c>
      <c r="H185" s="140">
        <f t="shared" si="61"/>
        <v>0</v>
      </c>
      <c r="I185" s="140">
        <f t="shared" si="59"/>
        <v>0</v>
      </c>
      <c r="J185" s="140"/>
      <c r="K185" s="140"/>
      <c r="L185" s="140"/>
      <c r="M185" s="140">
        <f t="shared" si="60"/>
        <v>0</v>
      </c>
      <c r="N185" s="140"/>
      <c r="O185" s="140"/>
      <c r="P185" s="140"/>
      <c r="Q185" s="253"/>
    </row>
    <row r="186" spans="1:17" s="138" customFormat="1" ht="56.25">
      <c r="A186" s="266"/>
      <c r="B186" s="79" t="s">
        <v>238</v>
      </c>
      <c r="C186" s="34"/>
      <c r="D186" s="261">
        <v>4378</v>
      </c>
      <c r="E186" s="140">
        <f t="shared" si="56"/>
        <v>0</v>
      </c>
      <c r="F186" s="140">
        <f t="shared" si="57"/>
        <v>0</v>
      </c>
      <c r="G186" s="253">
        <f t="shared" si="58"/>
        <v>0</v>
      </c>
      <c r="H186" s="140">
        <f t="shared" si="61"/>
        <v>0</v>
      </c>
      <c r="I186" s="140">
        <f t="shared" si="59"/>
        <v>0</v>
      </c>
      <c r="J186" s="140"/>
      <c r="K186" s="140"/>
      <c r="L186" s="140"/>
      <c r="M186" s="140">
        <f t="shared" si="60"/>
        <v>0</v>
      </c>
      <c r="N186" s="140"/>
      <c r="O186" s="140"/>
      <c r="P186" s="140"/>
      <c r="Q186" s="253"/>
    </row>
    <row r="187" spans="1:17" s="138" customFormat="1" ht="56.25">
      <c r="A187" s="266"/>
      <c r="B187" s="79" t="s">
        <v>238</v>
      </c>
      <c r="C187" s="34"/>
      <c r="D187" s="261">
        <v>4379</v>
      </c>
      <c r="E187" s="140">
        <f t="shared" si="56"/>
        <v>0</v>
      </c>
      <c r="F187" s="140">
        <f t="shared" si="57"/>
        <v>0</v>
      </c>
      <c r="G187" s="253">
        <f t="shared" si="58"/>
        <v>0</v>
      </c>
      <c r="H187" s="140">
        <f t="shared" si="61"/>
        <v>0</v>
      </c>
      <c r="I187" s="140">
        <f t="shared" si="59"/>
        <v>0</v>
      </c>
      <c r="J187" s="140"/>
      <c r="K187" s="140"/>
      <c r="L187" s="140"/>
      <c r="M187" s="140">
        <f t="shared" si="60"/>
        <v>0</v>
      </c>
      <c r="N187" s="140"/>
      <c r="O187" s="140"/>
      <c r="P187" s="140"/>
      <c r="Q187" s="253"/>
    </row>
    <row r="188" spans="1:17" s="138" customFormat="1" ht="22.5">
      <c r="A188" s="266"/>
      <c r="B188" s="79" t="s">
        <v>90</v>
      </c>
      <c r="C188" s="34"/>
      <c r="D188" s="261">
        <v>4308</v>
      </c>
      <c r="E188" s="140">
        <f t="shared" si="56"/>
        <v>8966</v>
      </c>
      <c r="F188" s="140">
        <f t="shared" si="57"/>
        <v>0</v>
      </c>
      <c r="G188" s="253">
        <f t="shared" si="58"/>
        <v>8966</v>
      </c>
      <c r="H188" s="140">
        <f t="shared" si="61"/>
        <v>8966</v>
      </c>
      <c r="I188" s="140">
        <f t="shared" si="59"/>
        <v>0</v>
      </c>
      <c r="J188" s="140"/>
      <c r="K188" s="140"/>
      <c r="L188" s="140"/>
      <c r="M188" s="140">
        <f t="shared" si="60"/>
        <v>8966</v>
      </c>
      <c r="N188" s="140"/>
      <c r="O188" s="140"/>
      <c r="P188" s="140"/>
      <c r="Q188" s="78">
        <v>8966</v>
      </c>
    </row>
    <row r="189" spans="1:17" s="138" customFormat="1" ht="22.5">
      <c r="A189" s="266"/>
      <c r="B189" s="79" t="s">
        <v>90</v>
      </c>
      <c r="C189" s="34"/>
      <c r="D189" s="261">
        <v>4309</v>
      </c>
      <c r="E189" s="140">
        <f t="shared" si="56"/>
        <v>1582</v>
      </c>
      <c r="F189" s="140">
        <f t="shared" si="57"/>
        <v>1582</v>
      </c>
      <c r="G189" s="253">
        <f t="shared" si="58"/>
        <v>0</v>
      </c>
      <c r="H189" s="140">
        <f t="shared" si="61"/>
        <v>1582</v>
      </c>
      <c r="I189" s="140">
        <f t="shared" si="59"/>
        <v>1582</v>
      </c>
      <c r="J189" s="140"/>
      <c r="K189" s="140"/>
      <c r="L189" s="78">
        <v>1582</v>
      </c>
      <c r="M189" s="140">
        <f t="shared" si="60"/>
        <v>0</v>
      </c>
      <c r="N189" s="140"/>
      <c r="O189" s="140"/>
      <c r="P189" s="140"/>
      <c r="Q189" s="253"/>
    </row>
    <row r="190" spans="1:17" s="138" customFormat="1" ht="67.5">
      <c r="A190" s="266"/>
      <c r="B190" s="562" t="s">
        <v>199</v>
      </c>
      <c r="C190" s="34"/>
      <c r="D190" s="261">
        <v>4748</v>
      </c>
      <c r="E190" s="140">
        <f>F190+G190</f>
        <v>13462</v>
      </c>
      <c r="F190" s="140">
        <f>I190</f>
        <v>0</v>
      </c>
      <c r="G190" s="253">
        <f>M190</f>
        <v>13462</v>
      </c>
      <c r="H190" s="140">
        <f>I190+M190</f>
        <v>13462</v>
      </c>
      <c r="I190" s="140">
        <f>SUM(J190:L190)</f>
        <v>0</v>
      </c>
      <c r="J190" s="140"/>
      <c r="K190" s="140"/>
      <c r="L190" s="140"/>
      <c r="M190" s="140">
        <f>SUM(N190:Q190)</f>
        <v>13462</v>
      </c>
      <c r="N190" s="140"/>
      <c r="O190" s="140"/>
      <c r="P190" s="140"/>
      <c r="Q190" s="78">
        <v>13462</v>
      </c>
    </row>
    <row r="191" spans="1:17" s="138" customFormat="1" ht="67.5">
      <c r="A191" s="266"/>
      <c r="B191" s="562" t="s">
        <v>199</v>
      </c>
      <c r="C191" s="34"/>
      <c r="D191" s="261">
        <v>4749</v>
      </c>
      <c r="E191" s="140">
        <f>F191+G191</f>
        <v>2376</v>
      </c>
      <c r="F191" s="140">
        <f>I191</f>
        <v>2376</v>
      </c>
      <c r="G191" s="253">
        <f>M191</f>
        <v>0</v>
      </c>
      <c r="H191" s="140">
        <f>I191+M191</f>
        <v>2376</v>
      </c>
      <c r="I191" s="140">
        <f>SUM(J191:L191)</f>
        <v>2376</v>
      </c>
      <c r="J191" s="140"/>
      <c r="K191" s="140"/>
      <c r="L191" s="78">
        <v>2376</v>
      </c>
      <c r="M191" s="140">
        <f>SUM(N191:Q191)</f>
        <v>0</v>
      </c>
      <c r="N191" s="140"/>
      <c r="O191" s="140"/>
      <c r="P191" s="140"/>
      <c r="Q191" s="253"/>
    </row>
    <row r="192" spans="1:17" s="138" customFormat="1" ht="45">
      <c r="A192" s="266"/>
      <c r="B192" s="79" t="s">
        <v>239</v>
      </c>
      <c r="C192" s="34"/>
      <c r="D192" s="261">
        <v>4758</v>
      </c>
      <c r="E192" s="140">
        <f t="shared" si="56"/>
        <v>48757</v>
      </c>
      <c r="F192" s="140">
        <f t="shared" si="57"/>
        <v>0</v>
      </c>
      <c r="G192" s="253">
        <f t="shared" si="58"/>
        <v>48757</v>
      </c>
      <c r="H192" s="140">
        <f t="shared" si="61"/>
        <v>48757</v>
      </c>
      <c r="I192" s="140">
        <f t="shared" si="59"/>
        <v>0</v>
      </c>
      <c r="J192" s="140"/>
      <c r="K192" s="140"/>
      <c r="L192" s="140"/>
      <c r="M192" s="140">
        <f t="shared" si="60"/>
        <v>48757</v>
      </c>
      <c r="N192" s="140"/>
      <c r="O192" s="140"/>
      <c r="P192" s="140"/>
      <c r="Q192" s="78">
        <v>48757</v>
      </c>
    </row>
    <row r="193" spans="1:17" s="138" customFormat="1" ht="45">
      <c r="A193" s="266"/>
      <c r="B193" s="79" t="s">
        <v>239</v>
      </c>
      <c r="C193" s="34"/>
      <c r="D193" s="261">
        <v>4759</v>
      </c>
      <c r="E193" s="140">
        <f t="shared" si="56"/>
        <v>8604</v>
      </c>
      <c r="F193" s="140">
        <f t="shared" si="57"/>
        <v>8604</v>
      </c>
      <c r="G193" s="253">
        <f t="shared" si="58"/>
        <v>0</v>
      </c>
      <c r="H193" s="140">
        <f t="shared" si="61"/>
        <v>8604</v>
      </c>
      <c r="I193" s="140">
        <f t="shared" si="59"/>
        <v>8604</v>
      </c>
      <c r="J193" s="140"/>
      <c r="K193" s="140"/>
      <c r="L193" s="78">
        <v>8604</v>
      </c>
      <c r="M193" s="140">
        <f t="shared" si="60"/>
        <v>0</v>
      </c>
      <c r="N193" s="140"/>
      <c r="O193" s="140"/>
      <c r="P193" s="140"/>
      <c r="Q193" s="253"/>
    </row>
    <row r="194" spans="1:17" s="138" customFormat="1" ht="45">
      <c r="A194" s="266"/>
      <c r="B194" s="562" t="s">
        <v>387</v>
      </c>
      <c r="C194" s="34"/>
      <c r="D194" s="261">
        <v>6068</v>
      </c>
      <c r="E194" s="140">
        <f>F194+G194</f>
        <v>0</v>
      </c>
      <c r="F194" s="140">
        <f>I194</f>
        <v>0</v>
      </c>
      <c r="G194" s="253">
        <f>M194</f>
        <v>0</v>
      </c>
      <c r="H194" s="140">
        <f>I194+M194</f>
        <v>0</v>
      </c>
      <c r="I194" s="140">
        <f>SUM(J194:L194)</f>
        <v>0</v>
      </c>
      <c r="J194" s="140"/>
      <c r="K194" s="140"/>
      <c r="L194" s="140"/>
      <c r="M194" s="140">
        <f>SUM(N194:Q194)</f>
        <v>0</v>
      </c>
      <c r="N194" s="140"/>
      <c r="O194" s="140"/>
      <c r="P194" s="140"/>
      <c r="Q194" s="78"/>
    </row>
    <row r="195" spans="1:17" s="138" customFormat="1" ht="45">
      <c r="A195" s="266"/>
      <c r="B195" s="562" t="s">
        <v>387</v>
      </c>
      <c r="C195" s="34"/>
      <c r="D195" s="261">
        <v>6069</v>
      </c>
      <c r="E195" s="140">
        <f>F195+G195</f>
        <v>0</v>
      </c>
      <c r="F195" s="140">
        <f>I195</f>
        <v>0</v>
      </c>
      <c r="G195" s="253">
        <f>M195</f>
        <v>0</v>
      </c>
      <c r="H195" s="140">
        <f>I195+M195</f>
        <v>0</v>
      </c>
      <c r="I195" s="140">
        <f>SUM(J195:L195)</f>
        <v>0</v>
      </c>
      <c r="J195" s="140"/>
      <c r="K195" s="140"/>
      <c r="L195" s="78"/>
      <c r="M195" s="140">
        <f>SUM(N195:Q195)</f>
        <v>0</v>
      </c>
      <c r="N195" s="140"/>
      <c r="O195" s="140"/>
      <c r="P195" s="140"/>
      <c r="Q195" s="253"/>
    </row>
    <row r="196" spans="1:17" s="139" customFormat="1" ht="17.25" customHeight="1">
      <c r="A196" s="554"/>
      <c r="B196" s="278">
        <v>2010</v>
      </c>
      <c r="C196" s="555"/>
      <c r="D196" s="555"/>
      <c r="E196" s="137">
        <f>F196+G196</f>
        <v>1419118</v>
      </c>
      <c r="F196" s="137">
        <f>SUM(F172:F195)</f>
        <v>212868</v>
      </c>
      <c r="G196" s="137">
        <f>SUM(G172:G195)</f>
        <v>1206250</v>
      </c>
      <c r="H196" s="137">
        <f>I196+M196</f>
        <v>1419118</v>
      </c>
      <c r="I196" s="137">
        <f>SUM(I172:I195)</f>
        <v>212868</v>
      </c>
      <c r="J196" s="137">
        <f>SUM(J172:J195)</f>
        <v>0</v>
      </c>
      <c r="K196" s="137">
        <f>SUM(K172:K195)</f>
        <v>0</v>
      </c>
      <c r="L196" s="137">
        <f>SUM(L172:L195)</f>
        <v>212868</v>
      </c>
      <c r="M196" s="137">
        <f>N196+O196+P196+Q196</f>
        <v>1206250</v>
      </c>
      <c r="N196" s="563">
        <f>SUM(N172:N195)</f>
        <v>0</v>
      </c>
      <c r="O196" s="563">
        <f>SUM(O172:O195)</f>
        <v>0</v>
      </c>
      <c r="P196" s="563">
        <f>SUM(P172:P195)</f>
        <v>0</v>
      </c>
      <c r="Q196" s="563">
        <f>SUM(Q172:Q195)</f>
        <v>1206250</v>
      </c>
    </row>
    <row r="197" spans="1:17" s="138" customFormat="1" ht="11.25">
      <c r="A197" s="266"/>
      <c r="B197" s="134">
        <v>2009</v>
      </c>
      <c r="C197" s="136"/>
      <c r="D197" s="136"/>
      <c r="E197" s="135">
        <v>553613.05</v>
      </c>
      <c r="F197" s="135"/>
      <c r="G197" s="135"/>
      <c r="H197" s="135"/>
      <c r="I197" s="135"/>
      <c r="J197" s="136"/>
      <c r="K197" s="136"/>
      <c r="L197" s="242"/>
      <c r="M197" s="135"/>
      <c r="N197" s="136"/>
      <c r="O197" s="136"/>
      <c r="P197" s="136"/>
      <c r="Q197" s="136"/>
    </row>
    <row r="198" spans="1:17" s="138" customFormat="1" ht="11.25" customHeight="1" hidden="1">
      <c r="A198" s="266" t="s">
        <v>465</v>
      </c>
      <c r="B198" s="277" t="s">
        <v>749</v>
      </c>
      <c r="C198" s="775" t="s">
        <v>464</v>
      </c>
      <c r="D198" s="776"/>
      <c r="E198" s="776"/>
      <c r="F198" s="776"/>
      <c r="G198" s="776"/>
      <c r="H198" s="776"/>
      <c r="I198" s="776"/>
      <c r="J198" s="776"/>
      <c r="K198" s="776"/>
      <c r="L198" s="776"/>
      <c r="M198" s="776"/>
      <c r="N198" s="776"/>
      <c r="O198" s="776"/>
      <c r="P198" s="776"/>
      <c r="Q198" s="777"/>
    </row>
    <row r="199" spans="1:17" s="138" customFormat="1" ht="11.25" customHeight="1">
      <c r="A199" s="266" t="s">
        <v>465</v>
      </c>
      <c r="B199" s="277" t="s">
        <v>749</v>
      </c>
      <c r="C199" s="784" t="s">
        <v>467</v>
      </c>
      <c r="D199" s="785"/>
      <c r="E199" s="785"/>
      <c r="F199" s="785"/>
      <c r="G199" s="785"/>
      <c r="H199" s="785"/>
      <c r="I199" s="785"/>
      <c r="J199" s="785"/>
      <c r="K199" s="785"/>
      <c r="L199" s="785"/>
      <c r="M199" s="785"/>
      <c r="N199" s="785"/>
      <c r="O199" s="785"/>
      <c r="P199" s="785"/>
      <c r="Q199" s="786"/>
    </row>
    <row r="200" spans="1:17" s="138" customFormat="1" ht="11.25" customHeight="1">
      <c r="A200" s="266"/>
      <c r="B200" s="275" t="s">
        <v>750</v>
      </c>
      <c r="C200" s="775"/>
      <c r="D200" s="776"/>
      <c r="E200" s="776"/>
      <c r="F200" s="776"/>
      <c r="G200" s="776"/>
      <c r="H200" s="776"/>
      <c r="I200" s="776"/>
      <c r="J200" s="776"/>
      <c r="K200" s="776"/>
      <c r="L200" s="776"/>
      <c r="M200" s="776"/>
      <c r="N200" s="776"/>
      <c r="O200" s="776"/>
      <c r="P200" s="776"/>
      <c r="Q200" s="777"/>
    </row>
    <row r="201" spans="1:17" s="138" customFormat="1" ht="11.25" customHeight="1">
      <c r="A201" s="266"/>
      <c r="B201" s="275" t="s">
        <v>751</v>
      </c>
      <c r="C201" s="775"/>
      <c r="D201" s="776"/>
      <c r="E201" s="776"/>
      <c r="F201" s="776"/>
      <c r="G201" s="776"/>
      <c r="H201" s="776"/>
      <c r="I201" s="776"/>
      <c r="J201" s="776"/>
      <c r="K201" s="776"/>
      <c r="L201" s="776"/>
      <c r="M201" s="776"/>
      <c r="N201" s="776"/>
      <c r="O201" s="776"/>
      <c r="P201" s="776"/>
      <c r="Q201" s="777"/>
    </row>
    <row r="202" spans="1:17" s="138" customFormat="1" ht="11.25" customHeight="1">
      <c r="A202" s="266"/>
      <c r="B202" s="276" t="s">
        <v>752</v>
      </c>
      <c r="C202" s="778"/>
      <c r="D202" s="779"/>
      <c r="E202" s="779"/>
      <c r="F202" s="779"/>
      <c r="G202" s="779"/>
      <c r="H202" s="779"/>
      <c r="I202" s="779"/>
      <c r="J202" s="779"/>
      <c r="K202" s="779"/>
      <c r="L202" s="779"/>
      <c r="M202" s="779"/>
      <c r="N202" s="779"/>
      <c r="O202" s="779"/>
      <c r="P202" s="779"/>
      <c r="Q202" s="780"/>
    </row>
    <row r="203" spans="1:17" s="138" customFormat="1" ht="12.75">
      <c r="A203" s="266"/>
      <c r="B203" s="278" t="s">
        <v>753</v>
      </c>
      <c r="C203" s="34"/>
      <c r="D203" s="141" t="s">
        <v>132</v>
      </c>
      <c r="E203" s="140">
        <f>E224+E225+E223</f>
        <v>557243</v>
      </c>
      <c r="F203" s="140">
        <f aca="true" t="shared" si="62" ref="F203:Q203">F224+F225+F223</f>
        <v>50007</v>
      </c>
      <c r="G203" s="140">
        <f t="shared" si="62"/>
        <v>145566</v>
      </c>
      <c r="H203" s="140">
        <f t="shared" si="62"/>
        <v>195573</v>
      </c>
      <c r="I203" s="140">
        <f t="shared" si="62"/>
        <v>50007</v>
      </c>
      <c r="J203" s="140">
        <f t="shared" si="62"/>
        <v>0</v>
      </c>
      <c r="K203" s="140">
        <f t="shared" si="62"/>
        <v>0</v>
      </c>
      <c r="L203" s="140">
        <f t="shared" si="62"/>
        <v>50007</v>
      </c>
      <c r="M203" s="140">
        <f t="shared" si="62"/>
        <v>145566</v>
      </c>
      <c r="N203" s="140">
        <f t="shared" si="62"/>
        <v>0</v>
      </c>
      <c r="O203" s="140">
        <f t="shared" si="62"/>
        <v>0</v>
      </c>
      <c r="P203" s="140">
        <f t="shared" si="62"/>
        <v>0</v>
      </c>
      <c r="Q203" s="140">
        <f t="shared" si="62"/>
        <v>145566</v>
      </c>
    </row>
    <row r="204" spans="1:17" s="138" customFormat="1" ht="33.75">
      <c r="A204" s="266"/>
      <c r="B204" s="79" t="s">
        <v>234</v>
      </c>
      <c r="C204" s="34"/>
      <c r="D204" s="261">
        <v>4118</v>
      </c>
      <c r="E204" s="140">
        <f aca="true" t="shared" si="63" ref="E204:E222">F204+G204</f>
        <v>11747</v>
      </c>
      <c r="F204" s="140"/>
      <c r="G204" s="253">
        <f>Q204</f>
        <v>11747</v>
      </c>
      <c r="H204" s="140">
        <f aca="true" t="shared" si="64" ref="H204:H222">I204+M204</f>
        <v>11747</v>
      </c>
      <c r="I204" s="140">
        <f aca="true" t="shared" si="65" ref="I204:I222">SUM(J204:L204)</f>
        <v>0</v>
      </c>
      <c r="J204" s="140"/>
      <c r="K204" s="140"/>
      <c r="L204" s="140"/>
      <c r="M204" s="140">
        <f aca="true" t="shared" si="66" ref="M204:M222">SUM(N204:Q204)</f>
        <v>11747</v>
      </c>
      <c r="N204" s="140"/>
      <c r="O204" s="140"/>
      <c r="P204" s="140"/>
      <c r="Q204" s="552">
        <v>11747</v>
      </c>
    </row>
    <row r="205" spans="1:17" s="138" customFormat="1" ht="33.75">
      <c r="A205" s="266"/>
      <c r="B205" s="79" t="s">
        <v>234</v>
      </c>
      <c r="C205" s="34"/>
      <c r="D205" s="261">
        <v>4119</v>
      </c>
      <c r="E205" s="140">
        <f t="shared" si="63"/>
        <v>2073</v>
      </c>
      <c r="F205" s="140">
        <f>L205</f>
        <v>2073</v>
      </c>
      <c r="G205" s="253"/>
      <c r="H205" s="140">
        <f t="shared" si="64"/>
        <v>2073</v>
      </c>
      <c r="I205" s="140">
        <f t="shared" si="65"/>
        <v>2073</v>
      </c>
      <c r="J205" s="140"/>
      <c r="K205" s="140"/>
      <c r="L205" s="552">
        <v>2073</v>
      </c>
      <c r="M205" s="140">
        <f t="shared" si="66"/>
        <v>0</v>
      </c>
      <c r="N205" s="140"/>
      <c r="O205" s="140"/>
      <c r="P205" s="140"/>
      <c r="Q205" s="253"/>
    </row>
    <row r="206" spans="1:17" s="138" customFormat="1" ht="22.5">
      <c r="A206" s="266"/>
      <c r="B206" s="79" t="s">
        <v>236</v>
      </c>
      <c r="C206" s="34"/>
      <c r="D206" s="261">
        <v>4128</v>
      </c>
      <c r="E206" s="140">
        <f t="shared" si="63"/>
        <v>1895</v>
      </c>
      <c r="F206" s="140"/>
      <c r="G206" s="253">
        <f>Q206</f>
        <v>1895</v>
      </c>
      <c r="H206" s="140">
        <f t="shared" si="64"/>
        <v>1895</v>
      </c>
      <c r="I206" s="140">
        <f t="shared" si="65"/>
        <v>0</v>
      </c>
      <c r="J206" s="140"/>
      <c r="K206" s="140"/>
      <c r="L206" s="140"/>
      <c r="M206" s="140">
        <f t="shared" si="66"/>
        <v>1895</v>
      </c>
      <c r="N206" s="140"/>
      <c r="O206" s="140"/>
      <c r="P206" s="140"/>
      <c r="Q206" s="552">
        <v>1895</v>
      </c>
    </row>
    <row r="207" spans="1:17" s="138" customFormat="1" ht="22.5">
      <c r="A207" s="266"/>
      <c r="B207" s="79" t="s">
        <v>236</v>
      </c>
      <c r="C207" s="34"/>
      <c r="D207" s="261">
        <v>4129</v>
      </c>
      <c r="E207" s="140">
        <f t="shared" si="63"/>
        <v>334</v>
      </c>
      <c r="F207" s="140">
        <f>L207</f>
        <v>334</v>
      </c>
      <c r="G207" s="253"/>
      <c r="H207" s="140">
        <f t="shared" si="64"/>
        <v>334</v>
      </c>
      <c r="I207" s="140">
        <f t="shared" si="65"/>
        <v>334</v>
      </c>
      <c r="J207" s="140"/>
      <c r="K207" s="140"/>
      <c r="L207" s="552">
        <v>334</v>
      </c>
      <c r="M207" s="140">
        <f t="shared" si="66"/>
        <v>0</v>
      </c>
      <c r="N207" s="140"/>
      <c r="O207" s="140"/>
      <c r="P207" s="140"/>
      <c r="Q207" s="253"/>
    </row>
    <row r="208" spans="1:17" s="138" customFormat="1" ht="33.75">
      <c r="A208" s="266"/>
      <c r="B208" s="79" t="s">
        <v>570</v>
      </c>
      <c r="C208" s="34"/>
      <c r="D208" s="261">
        <v>4018</v>
      </c>
      <c r="E208" s="140">
        <f t="shared" si="63"/>
        <v>4250</v>
      </c>
      <c r="F208" s="140"/>
      <c r="G208" s="253">
        <f>M208</f>
        <v>4250</v>
      </c>
      <c r="H208" s="140">
        <f t="shared" si="64"/>
        <v>4250</v>
      </c>
      <c r="I208" s="140">
        <f t="shared" si="65"/>
        <v>0</v>
      </c>
      <c r="J208" s="140"/>
      <c r="K208" s="140"/>
      <c r="L208" s="140"/>
      <c r="M208" s="140">
        <f t="shared" si="66"/>
        <v>4250</v>
      </c>
      <c r="N208" s="140"/>
      <c r="O208" s="140"/>
      <c r="P208" s="140"/>
      <c r="Q208" s="552">
        <v>4250</v>
      </c>
    </row>
    <row r="209" spans="1:17" s="138" customFormat="1" ht="33.75">
      <c r="A209" s="266"/>
      <c r="B209" s="79" t="s">
        <v>570</v>
      </c>
      <c r="C209" s="34"/>
      <c r="D209" s="261">
        <v>4019</v>
      </c>
      <c r="E209" s="140">
        <f t="shared" si="63"/>
        <v>750</v>
      </c>
      <c r="F209" s="140">
        <f>I209</f>
        <v>750</v>
      </c>
      <c r="G209" s="253"/>
      <c r="H209" s="140">
        <f t="shared" si="64"/>
        <v>750</v>
      </c>
      <c r="I209" s="140">
        <f t="shared" si="65"/>
        <v>750</v>
      </c>
      <c r="J209" s="140"/>
      <c r="K209" s="140"/>
      <c r="L209" s="552">
        <v>750</v>
      </c>
      <c r="M209" s="140">
        <f t="shared" si="66"/>
        <v>0</v>
      </c>
      <c r="N209" s="140"/>
      <c r="O209" s="140"/>
      <c r="P209" s="140"/>
      <c r="Q209" s="253"/>
    </row>
    <row r="210" spans="1:17" s="138" customFormat="1" ht="22.5">
      <c r="A210" s="266"/>
      <c r="B210" s="79" t="s">
        <v>196</v>
      </c>
      <c r="C210" s="34"/>
      <c r="D210" s="261">
        <v>4178</v>
      </c>
      <c r="E210" s="140">
        <f t="shared" si="63"/>
        <v>76050</v>
      </c>
      <c r="F210" s="140"/>
      <c r="G210" s="253">
        <f>M210</f>
        <v>76050</v>
      </c>
      <c r="H210" s="140">
        <f t="shared" si="64"/>
        <v>76050</v>
      </c>
      <c r="I210" s="140">
        <f t="shared" si="65"/>
        <v>0</v>
      </c>
      <c r="J210" s="140"/>
      <c r="K210" s="140"/>
      <c r="L210" s="140"/>
      <c r="M210" s="140">
        <f t="shared" si="66"/>
        <v>76050</v>
      </c>
      <c r="N210" s="140"/>
      <c r="O210" s="140"/>
      <c r="P210" s="140"/>
      <c r="Q210" s="552">
        <v>76050</v>
      </c>
    </row>
    <row r="211" spans="1:17" s="138" customFormat="1" ht="22.5">
      <c r="A211" s="266"/>
      <c r="B211" s="79" t="s">
        <v>196</v>
      </c>
      <c r="C211" s="34"/>
      <c r="D211" s="261">
        <v>4179</v>
      </c>
      <c r="E211" s="140">
        <f t="shared" si="63"/>
        <v>9929</v>
      </c>
      <c r="F211" s="140">
        <f>I211</f>
        <v>9929</v>
      </c>
      <c r="G211" s="253"/>
      <c r="H211" s="140">
        <f t="shared" si="64"/>
        <v>9929</v>
      </c>
      <c r="I211" s="140">
        <f t="shared" si="65"/>
        <v>9929</v>
      </c>
      <c r="J211" s="140"/>
      <c r="K211" s="140"/>
      <c r="L211" s="552">
        <v>9929</v>
      </c>
      <c r="M211" s="140">
        <f t="shared" si="66"/>
        <v>0</v>
      </c>
      <c r="N211" s="140"/>
      <c r="O211" s="140"/>
      <c r="P211" s="140"/>
      <c r="Q211" s="253"/>
    </row>
    <row r="212" spans="1:17" s="138" customFormat="1" ht="22.5">
      <c r="A212" s="266"/>
      <c r="B212" s="79" t="s">
        <v>107</v>
      </c>
      <c r="C212" s="34"/>
      <c r="D212" s="261">
        <v>4218</v>
      </c>
      <c r="E212" s="140">
        <f t="shared" si="63"/>
        <v>10087</v>
      </c>
      <c r="F212" s="140"/>
      <c r="G212" s="253">
        <f>M212</f>
        <v>10087</v>
      </c>
      <c r="H212" s="140">
        <f t="shared" si="64"/>
        <v>10087</v>
      </c>
      <c r="I212" s="140">
        <f t="shared" si="65"/>
        <v>0</v>
      </c>
      <c r="J212" s="140"/>
      <c r="K212" s="140"/>
      <c r="L212" s="140"/>
      <c r="M212" s="140">
        <f t="shared" si="66"/>
        <v>10087</v>
      </c>
      <c r="N212" s="140"/>
      <c r="O212" s="140"/>
      <c r="P212" s="140"/>
      <c r="Q212" s="552">
        <v>10087</v>
      </c>
    </row>
    <row r="213" spans="1:17" s="138" customFormat="1" ht="22.5">
      <c r="A213" s="266"/>
      <c r="B213" s="79" t="s">
        <v>107</v>
      </c>
      <c r="C213" s="34"/>
      <c r="D213" s="261">
        <v>4219</v>
      </c>
      <c r="E213" s="140">
        <f t="shared" si="63"/>
        <v>1780</v>
      </c>
      <c r="F213" s="140">
        <f>H213</f>
        <v>1780</v>
      </c>
      <c r="G213" s="253"/>
      <c r="H213" s="140">
        <f t="shared" si="64"/>
        <v>1780</v>
      </c>
      <c r="I213" s="140">
        <f t="shared" si="65"/>
        <v>1780</v>
      </c>
      <c r="J213" s="140"/>
      <c r="K213" s="140"/>
      <c r="L213" s="552">
        <v>1780</v>
      </c>
      <c r="M213" s="140">
        <f t="shared" si="66"/>
        <v>0</v>
      </c>
      <c r="N213" s="140"/>
      <c r="O213" s="140"/>
      <c r="P213" s="140"/>
      <c r="Q213" s="253"/>
    </row>
    <row r="214" spans="1:17" s="138" customFormat="1" ht="45">
      <c r="A214" s="266"/>
      <c r="B214" s="393" t="s">
        <v>239</v>
      </c>
      <c r="C214" s="34"/>
      <c r="D214" s="261">
        <v>4758</v>
      </c>
      <c r="E214" s="140">
        <f t="shared" si="63"/>
        <v>1768</v>
      </c>
      <c r="F214" s="140"/>
      <c r="G214" s="253">
        <f>M214</f>
        <v>1768</v>
      </c>
      <c r="H214" s="140">
        <f t="shared" si="64"/>
        <v>1768</v>
      </c>
      <c r="I214" s="140">
        <f t="shared" si="65"/>
        <v>0</v>
      </c>
      <c r="J214" s="140"/>
      <c r="K214" s="140"/>
      <c r="L214" s="140"/>
      <c r="M214" s="140">
        <f t="shared" si="66"/>
        <v>1768</v>
      </c>
      <c r="N214" s="140"/>
      <c r="O214" s="140"/>
      <c r="P214" s="140"/>
      <c r="Q214" s="552">
        <v>1768</v>
      </c>
    </row>
    <row r="215" spans="1:17" s="138" customFormat="1" ht="45">
      <c r="A215" s="266"/>
      <c r="B215" s="393" t="s">
        <v>239</v>
      </c>
      <c r="C215" s="34"/>
      <c r="D215" s="261">
        <v>4759</v>
      </c>
      <c r="E215" s="140">
        <f t="shared" si="63"/>
        <v>312</v>
      </c>
      <c r="F215" s="140">
        <f>H215</f>
        <v>312</v>
      </c>
      <c r="G215" s="253"/>
      <c r="H215" s="140">
        <f t="shared" si="64"/>
        <v>312</v>
      </c>
      <c r="I215" s="140">
        <f t="shared" si="65"/>
        <v>312</v>
      </c>
      <c r="J215" s="140"/>
      <c r="K215" s="140"/>
      <c r="L215" s="552">
        <v>312</v>
      </c>
      <c r="M215" s="140">
        <f t="shared" si="66"/>
        <v>0</v>
      </c>
      <c r="N215" s="140"/>
      <c r="O215" s="140"/>
      <c r="P215" s="140"/>
      <c r="Q215" s="253"/>
    </row>
    <row r="216" spans="1:17" s="138" customFormat="1" ht="22.5">
      <c r="A216" s="266"/>
      <c r="B216" s="79" t="s">
        <v>90</v>
      </c>
      <c r="C216" s="34"/>
      <c r="D216" s="261">
        <v>4308</v>
      </c>
      <c r="E216" s="140">
        <f t="shared" si="63"/>
        <v>39461</v>
      </c>
      <c r="F216" s="140"/>
      <c r="G216" s="253">
        <f>M216</f>
        <v>39461</v>
      </c>
      <c r="H216" s="140">
        <f t="shared" si="64"/>
        <v>39461</v>
      </c>
      <c r="I216" s="140">
        <f t="shared" si="65"/>
        <v>0</v>
      </c>
      <c r="J216" s="140"/>
      <c r="K216" s="140"/>
      <c r="L216" s="140"/>
      <c r="M216" s="140">
        <f t="shared" si="66"/>
        <v>39461</v>
      </c>
      <c r="N216" s="140"/>
      <c r="O216" s="140"/>
      <c r="P216" s="140"/>
      <c r="Q216" s="552">
        <v>39461</v>
      </c>
    </row>
    <row r="217" spans="1:17" s="138" customFormat="1" ht="22.5">
      <c r="A217" s="266"/>
      <c r="B217" s="79" t="s">
        <v>90</v>
      </c>
      <c r="C217" s="34"/>
      <c r="D217" s="261">
        <v>4309</v>
      </c>
      <c r="E217" s="140">
        <f t="shared" si="63"/>
        <v>4753</v>
      </c>
      <c r="F217" s="140">
        <f>H217</f>
        <v>4753</v>
      </c>
      <c r="G217" s="253"/>
      <c r="H217" s="140">
        <f t="shared" si="64"/>
        <v>4753</v>
      </c>
      <c r="I217" s="140">
        <f t="shared" si="65"/>
        <v>4753</v>
      </c>
      <c r="J217" s="140"/>
      <c r="K217" s="140"/>
      <c r="L217" s="552">
        <v>4753</v>
      </c>
      <c r="M217" s="140">
        <f t="shared" si="66"/>
        <v>0</v>
      </c>
      <c r="N217" s="140"/>
      <c r="O217" s="140"/>
      <c r="P217" s="140"/>
      <c r="Q217" s="253"/>
    </row>
    <row r="218" spans="1:17" s="138" customFormat="1" ht="33.75">
      <c r="A218" s="266"/>
      <c r="B218" s="480" t="s">
        <v>476</v>
      </c>
      <c r="C218" s="34"/>
      <c r="D218" s="261" t="s">
        <v>710</v>
      </c>
      <c r="E218" s="140"/>
      <c r="F218" s="140" t="str">
        <f>H218</f>
        <v>x</v>
      </c>
      <c r="G218" s="253"/>
      <c r="H218" s="140" t="s">
        <v>710</v>
      </c>
      <c r="I218" s="140" t="s">
        <v>710</v>
      </c>
      <c r="J218" s="140"/>
      <c r="K218" s="140"/>
      <c r="L218" s="140"/>
      <c r="M218" s="140"/>
      <c r="N218" s="140"/>
      <c r="O218" s="140"/>
      <c r="P218" s="140"/>
      <c r="Q218" s="253"/>
    </row>
    <row r="219" spans="1:17" s="138" customFormat="1" ht="67.5">
      <c r="A219" s="266"/>
      <c r="B219" s="79" t="s">
        <v>199</v>
      </c>
      <c r="C219" s="34"/>
      <c r="D219" s="261">
        <v>4748</v>
      </c>
      <c r="E219" s="140">
        <f t="shared" si="63"/>
        <v>0</v>
      </c>
      <c r="F219" s="140"/>
      <c r="G219" s="253">
        <f>M219</f>
        <v>0</v>
      </c>
      <c r="H219" s="140">
        <f t="shared" si="64"/>
        <v>0</v>
      </c>
      <c r="I219" s="140">
        <f t="shared" si="65"/>
        <v>0</v>
      </c>
      <c r="J219" s="140"/>
      <c r="K219" s="140"/>
      <c r="L219" s="140"/>
      <c r="M219" s="140">
        <f t="shared" si="66"/>
        <v>0</v>
      </c>
      <c r="N219" s="140"/>
      <c r="O219" s="140"/>
      <c r="P219" s="140"/>
      <c r="Q219" s="552"/>
    </row>
    <row r="220" spans="1:17" s="138" customFormat="1" ht="67.5">
      <c r="A220" s="266"/>
      <c r="B220" s="79" t="s">
        <v>199</v>
      </c>
      <c r="C220" s="34"/>
      <c r="D220" s="261">
        <v>4749</v>
      </c>
      <c r="E220" s="140">
        <f t="shared" si="63"/>
        <v>0</v>
      </c>
      <c r="F220" s="140">
        <f>H220</f>
        <v>0</v>
      </c>
      <c r="G220" s="253"/>
      <c r="H220" s="140">
        <f t="shared" si="64"/>
        <v>0</v>
      </c>
      <c r="I220" s="140">
        <f t="shared" si="65"/>
        <v>0</v>
      </c>
      <c r="J220" s="140"/>
      <c r="K220" s="140"/>
      <c r="L220" s="552"/>
      <c r="M220" s="140">
        <f t="shared" si="66"/>
        <v>0</v>
      </c>
      <c r="N220" s="140"/>
      <c r="O220" s="140"/>
      <c r="P220" s="140"/>
      <c r="Q220" s="253"/>
    </row>
    <row r="221" spans="1:17" s="138" customFormat="1" ht="33.75">
      <c r="A221" s="266"/>
      <c r="B221" s="79" t="s">
        <v>477</v>
      </c>
      <c r="C221" s="34"/>
      <c r="D221" s="261">
        <v>4358</v>
      </c>
      <c r="E221" s="140">
        <f t="shared" si="63"/>
        <v>308</v>
      </c>
      <c r="F221" s="140"/>
      <c r="G221" s="253">
        <f>M221</f>
        <v>308</v>
      </c>
      <c r="H221" s="140">
        <f t="shared" si="64"/>
        <v>308</v>
      </c>
      <c r="I221" s="140">
        <f t="shared" si="65"/>
        <v>0</v>
      </c>
      <c r="J221" s="140"/>
      <c r="K221" s="140"/>
      <c r="L221" s="140"/>
      <c r="M221" s="140">
        <f t="shared" si="66"/>
        <v>308</v>
      </c>
      <c r="N221" s="140"/>
      <c r="O221" s="140"/>
      <c r="P221" s="140"/>
      <c r="Q221" s="552">
        <v>308</v>
      </c>
    </row>
    <row r="222" spans="1:17" s="138" customFormat="1" ht="33.75">
      <c r="A222" s="266"/>
      <c r="B222" s="79" t="s">
        <v>477</v>
      </c>
      <c r="C222" s="34"/>
      <c r="D222" s="261">
        <v>4359</v>
      </c>
      <c r="E222" s="140">
        <f t="shared" si="63"/>
        <v>54</v>
      </c>
      <c r="F222" s="140">
        <f>H222</f>
        <v>54</v>
      </c>
      <c r="G222" s="253"/>
      <c r="H222" s="140">
        <f t="shared" si="64"/>
        <v>54</v>
      </c>
      <c r="I222" s="140">
        <f t="shared" si="65"/>
        <v>54</v>
      </c>
      <c r="J222" s="140"/>
      <c r="K222" s="140"/>
      <c r="L222" s="552">
        <v>54</v>
      </c>
      <c r="M222" s="140">
        <f t="shared" si="66"/>
        <v>0</v>
      </c>
      <c r="N222" s="140"/>
      <c r="O222" s="140"/>
      <c r="P222" s="140"/>
      <c r="Q222" s="253"/>
    </row>
    <row r="223" spans="2:17" s="138" customFormat="1" ht="22.5">
      <c r="B223" s="564" t="s">
        <v>793</v>
      </c>
      <c r="C223" s="34"/>
      <c r="D223" s="261"/>
      <c r="E223" s="140">
        <f>F223+G223</f>
        <v>30022</v>
      </c>
      <c r="F223" s="140">
        <f>H223</f>
        <v>30022</v>
      </c>
      <c r="G223" s="253"/>
      <c r="H223" s="140">
        <f>I223+M223</f>
        <v>30022</v>
      </c>
      <c r="I223" s="140">
        <f>SUM(J223:L223)</f>
        <v>30022</v>
      </c>
      <c r="J223" s="140"/>
      <c r="K223" s="140"/>
      <c r="L223" s="552">
        <v>30022</v>
      </c>
      <c r="M223" s="140"/>
      <c r="N223" s="140"/>
      <c r="O223" s="140"/>
      <c r="P223" s="140"/>
      <c r="Q223" s="253"/>
    </row>
    <row r="224" spans="1:19" s="139" customFormat="1" ht="11.25">
      <c r="A224" s="554"/>
      <c r="B224" s="278">
        <v>2010</v>
      </c>
      <c r="C224" s="555"/>
      <c r="D224" s="555"/>
      <c r="E224" s="137">
        <f>F224+G224+E218</f>
        <v>165551</v>
      </c>
      <c r="F224" s="137">
        <f>SUM(F204:F222)</f>
        <v>19985</v>
      </c>
      <c r="G224" s="137">
        <f>SUM(G204:G222)</f>
        <v>145566</v>
      </c>
      <c r="H224" s="137">
        <f>I224+M224</f>
        <v>165551</v>
      </c>
      <c r="I224" s="137">
        <f>SUM(J224:L224)</f>
        <v>19985</v>
      </c>
      <c r="J224" s="137">
        <f>SUM(J204:J222)</f>
        <v>0</v>
      </c>
      <c r="K224" s="137">
        <f>SUM(K204:K222)</f>
        <v>0</v>
      </c>
      <c r="L224" s="137">
        <f>SUM(L204:L222)</f>
        <v>19985</v>
      </c>
      <c r="M224" s="137">
        <f>N224+O224+P224+Q224</f>
        <v>145566</v>
      </c>
      <c r="N224" s="137">
        <f>SUM(N204:N222)</f>
        <v>0</v>
      </c>
      <c r="O224" s="137">
        <f>SUM(O204:O222)</f>
        <v>0</v>
      </c>
      <c r="P224" s="137">
        <f>SUM(P204:P222)</f>
        <v>0</v>
      </c>
      <c r="Q224" s="137">
        <f>SUM(Q204:Q222)</f>
        <v>145566</v>
      </c>
      <c r="S224" s="556"/>
    </row>
    <row r="225" spans="1:17" s="138" customFormat="1" ht="11.25">
      <c r="A225" s="266"/>
      <c r="B225" s="134">
        <v>2009</v>
      </c>
      <c r="C225" s="136"/>
      <c r="D225" s="136"/>
      <c r="E225" s="135">
        <v>361670</v>
      </c>
      <c r="F225" s="135"/>
      <c r="G225" s="133"/>
      <c r="H225" s="135"/>
      <c r="I225" s="135"/>
      <c r="J225" s="136"/>
      <c r="K225" s="136"/>
      <c r="L225" s="242"/>
      <c r="M225" s="135"/>
      <c r="N225" s="136"/>
      <c r="O225" s="136"/>
      <c r="P225" s="136"/>
      <c r="Q225" s="136"/>
    </row>
    <row r="226" spans="1:17" s="138" customFormat="1" ht="11.25" customHeight="1">
      <c r="A226" s="266" t="s">
        <v>466</v>
      </c>
      <c r="B226" s="277" t="s">
        <v>749</v>
      </c>
      <c r="C226" s="784" t="s">
        <v>483</v>
      </c>
      <c r="D226" s="785"/>
      <c r="E226" s="785"/>
      <c r="F226" s="785"/>
      <c r="G226" s="785"/>
      <c r="H226" s="785"/>
      <c r="I226" s="785"/>
      <c r="J226" s="785"/>
      <c r="K226" s="785"/>
      <c r="L226" s="785"/>
      <c r="M226" s="785"/>
      <c r="N226" s="785"/>
      <c r="O226" s="785"/>
      <c r="P226" s="785"/>
      <c r="Q226" s="786"/>
    </row>
    <row r="227" spans="1:17" s="138" customFormat="1" ht="11.25" customHeight="1">
      <c r="A227" s="266"/>
      <c r="B227" s="275" t="s">
        <v>750</v>
      </c>
      <c r="C227" s="775"/>
      <c r="D227" s="776"/>
      <c r="E227" s="776"/>
      <c r="F227" s="776"/>
      <c r="G227" s="776"/>
      <c r="H227" s="776"/>
      <c r="I227" s="776"/>
      <c r="J227" s="776"/>
      <c r="K227" s="776"/>
      <c r="L227" s="776"/>
      <c r="M227" s="776"/>
      <c r="N227" s="776"/>
      <c r="O227" s="776"/>
      <c r="P227" s="776"/>
      <c r="Q227" s="777"/>
    </row>
    <row r="228" spans="1:17" s="138" customFormat="1" ht="11.25" customHeight="1">
      <c r="A228" s="266"/>
      <c r="B228" s="275" t="s">
        <v>751</v>
      </c>
      <c r="C228" s="775"/>
      <c r="D228" s="776"/>
      <c r="E228" s="776"/>
      <c r="F228" s="776"/>
      <c r="G228" s="776"/>
      <c r="H228" s="776"/>
      <c r="I228" s="776"/>
      <c r="J228" s="776"/>
      <c r="K228" s="776"/>
      <c r="L228" s="776"/>
      <c r="M228" s="776"/>
      <c r="N228" s="776"/>
      <c r="O228" s="776"/>
      <c r="P228" s="776"/>
      <c r="Q228" s="777"/>
    </row>
    <row r="229" spans="1:17" s="138" customFormat="1" ht="11.25" customHeight="1">
      <c r="A229" s="266"/>
      <c r="B229" s="276" t="s">
        <v>752</v>
      </c>
      <c r="C229" s="778"/>
      <c r="D229" s="779"/>
      <c r="E229" s="779"/>
      <c r="F229" s="779"/>
      <c r="G229" s="779"/>
      <c r="H229" s="779"/>
      <c r="I229" s="779"/>
      <c r="J229" s="779"/>
      <c r="K229" s="779"/>
      <c r="L229" s="779"/>
      <c r="M229" s="779"/>
      <c r="N229" s="779"/>
      <c r="O229" s="779"/>
      <c r="P229" s="779"/>
      <c r="Q229" s="780"/>
    </row>
    <row r="230" spans="1:17" s="138" customFormat="1" ht="12.75">
      <c r="A230" s="266"/>
      <c r="B230" s="278" t="s">
        <v>753</v>
      </c>
      <c r="C230" s="34"/>
      <c r="D230" s="141" t="s">
        <v>480</v>
      </c>
      <c r="E230" s="140">
        <f>E251+E252</f>
        <v>578370</v>
      </c>
      <c r="F230" s="140">
        <f aca="true" t="shared" si="67" ref="F230:Q230">F251+F252</f>
        <v>15018</v>
      </c>
      <c r="G230" s="140">
        <f t="shared" si="67"/>
        <v>85100</v>
      </c>
      <c r="H230" s="140">
        <f t="shared" si="67"/>
        <v>100118</v>
      </c>
      <c r="I230" s="140">
        <f t="shared" si="67"/>
        <v>15018</v>
      </c>
      <c r="J230" s="140">
        <f t="shared" si="67"/>
        <v>0</v>
      </c>
      <c r="K230" s="140">
        <f t="shared" si="67"/>
        <v>0</v>
      </c>
      <c r="L230" s="140">
        <f t="shared" si="67"/>
        <v>15018</v>
      </c>
      <c r="M230" s="140">
        <f t="shared" si="67"/>
        <v>85100</v>
      </c>
      <c r="N230" s="140">
        <f t="shared" si="67"/>
        <v>0</v>
      </c>
      <c r="O230" s="140">
        <f t="shared" si="67"/>
        <v>0</v>
      </c>
      <c r="P230" s="140">
        <f t="shared" si="67"/>
        <v>0</v>
      </c>
      <c r="Q230" s="253">
        <f t="shared" si="67"/>
        <v>85100</v>
      </c>
    </row>
    <row r="231" spans="1:17" s="138" customFormat="1" ht="33.75">
      <c r="A231" s="266"/>
      <c r="B231" s="79" t="s">
        <v>234</v>
      </c>
      <c r="C231" s="34"/>
      <c r="D231" s="261">
        <v>4118</v>
      </c>
      <c r="E231" s="140">
        <f aca="true" t="shared" si="68" ref="E231:E251">F231+G231</f>
        <v>2265</v>
      </c>
      <c r="F231" s="140"/>
      <c r="G231" s="253">
        <f>Q231</f>
        <v>2265</v>
      </c>
      <c r="H231" s="140">
        <f aca="true" t="shared" si="69" ref="H231:H251">I231+M231</f>
        <v>2265</v>
      </c>
      <c r="I231" s="140">
        <f aca="true" t="shared" si="70" ref="I231:I251">SUM(J231:L231)</f>
        <v>0</v>
      </c>
      <c r="J231" s="140"/>
      <c r="K231" s="140"/>
      <c r="L231" s="140"/>
      <c r="M231" s="140">
        <f aca="true" t="shared" si="71" ref="M231:M250">SUM(N231:Q231)</f>
        <v>2265</v>
      </c>
      <c r="N231" s="140"/>
      <c r="O231" s="140"/>
      <c r="P231" s="140"/>
      <c r="Q231" s="552">
        <v>2265</v>
      </c>
    </row>
    <row r="232" spans="1:17" s="138" customFormat="1" ht="33.75">
      <c r="A232" s="266"/>
      <c r="B232" s="79" t="s">
        <v>234</v>
      </c>
      <c r="C232" s="34"/>
      <c r="D232" s="261">
        <v>4119</v>
      </c>
      <c r="E232" s="140">
        <f t="shared" si="68"/>
        <v>400</v>
      </c>
      <c r="F232" s="140">
        <f>L232</f>
        <v>400</v>
      </c>
      <c r="G232" s="253"/>
      <c r="H232" s="140">
        <f t="shared" si="69"/>
        <v>400</v>
      </c>
      <c r="I232" s="140">
        <f t="shared" si="70"/>
        <v>400</v>
      </c>
      <c r="J232" s="140"/>
      <c r="K232" s="140"/>
      <c r="L232" s="552">
        <v>400</v>
      </c>
      <c r="M232" s="140">
        <f t="shared" si="71"/>
        <v>0</v>
      </c>
      <c r="N232" s="140"/>
      <c r="O232" s="140"/>
      <c r="P232" s="140"/>
      <c r="Q232" s="253"/>
    </row>
    <row r="233" spans="1:17" s="138" customFormat="1" ht="22.5">
      <c r="A233" s="266"/>
      <c r="B233" s="79" t="s">
        <v>236</v>
      </c>
      <c r="C233" s="34"/>
      <c r="D233" s="261">
        <v>4128</v>
      </c>
      <c r="E233" s="140">
        <f t="shared" si="68"/>
        <v>363</v>
      </c>
      <c r="F233" s="140"/>
      <c r="G233" s="253">
        <f>Q233</f>
        <v>363</v>
      </c>
      <c r="H233" s="140">
        <f t="shared" si="69"/>
        <v>363</v>
      </c>
      <c r="I233" s="140">
        <f t="shared" si="70"/>
        <v>0</v>
      </c>
      <c r="J233" s="140"/>
      <c r="K233" s="140"/>
      <c r="L233" s="140"/>
      <c r="M233" s="140">
        <f t="shared" si="71"/>
        <v>363</v>
      </c>
      <c r="N233" s="140"/>
      <c r="O233" s="140"/>
      <c r="P233" s="140"/>
      <c r="Q233" s="552">
        <v>363</v>
      </c>
    </row>
    <row r="234" spans="1:17" s="138" customFormat="1" ht="22.5">
      <c r="A234" s="266"/>
      <c r="B234" s="79" t="s">
        <v>236</v>
      </c>
      <c r="C234" s="34"/>
      <c r="D234" s="261">
        <v>4129</v>
      </c>
      <c r="E234" s="140">
        <f t="shared" si="68"/>
        <v>64</v>
      </c>
      <c r="F234" s="140">
        <f>L234</f>
        <v>64</v>
      </c>
      <c r="G234" s="253"/>
      <c r="H234" s="140">
        <f t="shared" si="69"/>
        <v>64</v>
      </c>
      <c r="I234" s="140">
        <f t="shared" si="70"/>
        <v>64</v>
      </c>
      <c r="J234" s="140"/>
      <c r="K234" s="140"/>
      <c r="L234" s="552">
        <v>64</v>
      </c>
      <c r="M234" s="140">
        <f t="shared" si="71"/>
        <v>0</v>
      </c>
      <c r="N234" s="140"/>
      <c r="O234" s="140"/>
      <c r="P234" s="140"/>
      <c r="Q234" s="253"/>
    </row>
    <row r="235" spans="1:17" s="138" customFormat="1" ht="33.75">
      <c r="A235" s="266"/>
      <c r="B235" s="79" t="s">
        <v>570</v>
      </c>
      <c r="C235" s="34"/>
      <c r="D235" s="261">
        <v>4018</v>
      </c>
      <c r="E235" s="140">
        <f t="shared" si="68"/>
        <v>1275</v>
      </c>
      <c r="F235" s="140"/>
      <c r="G235" s="253">
        <f>M235</f>
        <v>1275</v>
      </c>
      <c r="H235" s="140">
        <f t="shared" si="69"/>
        <v>1275</v>
      </c>
      <c r="I235" s="140">
        <f t="shared" si="70"/>
        <v>0</v>
      </c>
      <c r="J235" s="140"/>
      <c r="K235" s="140"/>
      <c r="L235" s="140"/>
      <c r="M235" s="140">
        <f t="shared" si="71"/>
        <v>1275</v>
      </c>
      <c r="N235" s="140"/>
      <c r="O235" s="140"/>
      <c r="P235" s="140"/>
      <c r="Q235" s="552">
        <v>1275</v>
      </c>
    </row>
    <row r="236" spans="1:17" s="138" customFormat="1" ht="33.75">
      <c r="A236" s="266"/>
      <c r="B236" s="79" t="s">
        <v>570</v>
      </c>
      <c r="C236" s="34"/>
      <c r="D236" s="261">
        <v>4019</v>
      </c>
      <c r="E236" s="140">
        <f t="shared" si="68"/>
        <v>225</v>
      </c>
      <c r="F236" s="140">
        <f>I236</f>
        <v>225</v>
      </c>
      <c r="G236" s="253"/>
      <c r="H236" s="140">
        <f t="shared" si="69"/>
        <v>225</v>
      </c>
      <c r="I236" s="140">
        <f t="shared" si="70"/>
        <v>225</v>
      </c>
      <c r="J236" s="140"/>
      <c r="K236" s="140"/>
      <c r="L236" s="552">
        <v>225</v>
      </c>
      <c r="M236" s="140">
        <f t="shared" si="71"/>
        <v>0</v>
      </c>
      <c r="N236" s="140"/>
      <c r="O236" s="140"/>
      <c r="P236" s="140"/>
      <c r="Q236" s="253"/>
    </row>
    <row r="237" spans="1:17" s="138" customFormat="1" ht="22.5">
      <c r="A237" s="266"/>
      <c r="B237" s="79" t="s">
        <v>196</v>
      </c>
      <c r="C237" s="34"/>
      <c r="D237" s="261">
        <v>4178</v>
      </c>
      <c r="E237" s="140">
        <f t="shared" si="68"/>
        <v>13550</v>
      </c>
      <c r="F237" s="140"/>
      <c r="G237" s="253">
        <f>M237</f>
        <v>13550</v>
      </c>
      <c r="H237" s="140">
        <f t="shared" si="69"/>
        <v>13550</v>
      </c>
      <c r="I237" s="140">
        <f t="shared" si="70"/>
        <v>0</v>
      </c>
      <c r="J237" s="140"/>
      <c r="K237" s="140"/>
      <c r="L237" s="140"/>
      <c r="M237" s="140">
        <f t="shared" si="71"/>
        <v>13550</v>
      </c>
      <c r="N237" s="140"/>
      <c r="O237" s="140"/>
      <c r="P237" s="140"/>
      <c r="Q237" s="552">
        <v>13550</v>
      </c>
    </row>
    <row r="238" spans="1:17" s="138" customFormat="1" ht="22.5">
      <c r="A238" s="266"/>
      <c r="B238" s="79" t="s">
        <v>196</v>
      </c>
      <c r="C238" s="34"/>
      <c r="D238" s="261">
        <v>4179</v>
      </c>
      <c r="E238" s="140">
        <f t="shared" si="68"/>
        <v>2391</v>
      </c>
      <c r="F238" s="140">
        <f>I238</f>
        <v>2391</v>
      </c>
      <c r="G238" s="253"/>
      <c r="H238" s="140">
        <f t="shared" si="69"/>
        <v>2391</v>
      </c>
      <c r="I238" s="140">
        <f t="shared" si="70"/>
        <v>2391</v>
      </c>
      <c r="J238" s="140"/>
      <c r="K238" s="140"/>
      <c r="L238" s="552">
        <v>2391</v>
      </c>
      <c r="M238" s="140">
        <f t="shared" si="71"/>
        <v>0</v>
      </c>
      <c r="N238" s="140"/>
      <c r="O238" s="140"/>
      <c r="P238" s="140"/>
      <c r="Q238" s="253"/>
    </row>
    <row r="239" spans="1:17" s="138" customFormat="1" ht="22.5">
      <c r="A239" s="266"/>
      <c r="B239" s="79" t="s">
        <v>107</v>
      </c>
      <c r="C239" s="34"/>
      <c r="D239" s="261">
        <v>4218</v>
      </c>
      <c r="E239" s="140">
        <f t="shared" si="68"/>
        <v>3080</v>
      </c>
      <c r="F239" s="140"/>
      <c r="G239" s="253">
        <f>M239</f>
        <v>3080</v>
      </c>
      <c r="H239" s="140">
        <f t="shared" si="69"/>
        <v>3080</v>
      </c>
      <c r="I239" s="140">
        <f t="shared" si="70"/>
        <v>0</v>
      </c>
      <c r="J239" s="140"/>
      <c r="K239" s="140"/>
      <c r="L239" s="140"/>
      <c r="M239" s="140">
        <f t="shared" si="71"/>
        <v>3080</v>
      </c>
      <c r="N239" s="140"/>
      <c r="O239" s="140"/>
      <c r="P239" s="140"/>
      <c r="Q239" s="552">
        <v>3080</v>
      </c>
    </row>
    <row r="240" spans="1:17" s="138" customFormat="1" ht="22.5">
      <c r="A240" s="266"/>
      <c r="B240" s="79" t="s">
        <v>107</v>
      </c>
      <c r="C240" s="34"/>
      <c r="D240" s="261">
        <v>4219</v>
      </c>
      <c r="E240" s="140">
        <f t="shared" si="68"/>
        <v>543</v>
      </c>
      <c r="F240" s="140">
        <f>H240</f>
        <v>543</v>
      </c>
      <c r="G240" s="253"/>
      <c r="H240" s="140">
        <f t="shared" si="69"/>
        <v>543</v>
      </c>
      <c r="I240" s="140">
        <f t="shared" si="70"/>
        <v>543</v>
      </c>
      <c r="J240" s="140"/>
      <c r="K240" s="140"/>
      <c r="L240" s="552">
        <v>543</v>
      </c>
      <c r="M240" s="140">
        <f t="shared" si="71"/>
        <v>0</v>
      </c>
      <c r="N240" s="140"/>
      <c r="O240" s="140"/>
      <c r="P240" s="140"/>
      <c r="Q240" s="253"/>
    </row>
    <row r="241" spans="1:17" s="138" customFormat="1" ht="45">
      <c r="A241" s="266"/>
      <c r="B241" s="393" t="s">
        <v>239</v>
      </c>
      <c r="C241" s="34"/>
      <c r="D241" s="261">
        <v>4758</v>
      </c>
      <c r="E241" s="140">
        <f t="shared" si="68"/>
        <v>0</v>
      </c>
      <c r="F241" s="140"/>
      <c r="G241" s="253">
        <f>M241</f>
        <v>0</v>
      </c>
      <c r="H241" s="140">
        <f t="shared" si="69"/>
        <v>0</v>
      </c>
      <c r="I241" s="140">
        <f t="shared" si="70"/>
        <v>0</v>
      </c>
      <c r="J241" s="140"/>
      <c r="K241" s="140"/>
      <c r="L241" s="140"/>
      <c r="M241" s="140">
        <f t="shared" si="71"/>
        <v>0</v>
      </c>
      <c r="N241" s="140"/>
      <c r="O241" s="140"/>
      <c r="P241" s="140"/>
      <c r="Q241" s="253"/>
    </row>
    <row r="242" spans="1:17" s="138" customFormat="1" ht="45">
      <c r="A242" s="266"/>
      <c r="B242" s="393" t="s">
        <v>239</v>
      </c>
      <c r="C242" s="34"/>
      <c r="D242" s="261">
        <v>4759</v>
      </c>
      <c r="E242" s="140">
        <f t="shared" si="68"/>
        <v>0</v>
      </c>
      <c r="F242" s="140">
        <f>H242</f>
        <v>0</v>
      </c>
      <c r="G242" s="253"/>
      <c r="H242" s="140">
        <f t="shared" si="69"/>
        <v>0</v>
      </c>
      <c r="I242" s="140">
        <f t="shared" si="70"/>
        <v>0</v>
      </c>
      <c r="J242" s="140"/>
      <c r="K242" s="140"/>
      <c r="L242" s="140"/>
      <c r="M242" s="140">
        <f t="shared" si="71"/>
        <v>0</v>
      </c>
      <c r="N242" s="140"/>
      <c r="O242" s="140"/>
      <c r="P242" s="140"/>
      <c r="Q242" s="253"/>
    </row>
    <row r="243" spans="1:17" s="138" customFormat="1" ht="22.5">
      <c r="A243" s="266"/>
      <c r="B243" s="79" t="s">
        <v>90</v>
      </c>
      <c r="C243" s="34"/>
      <c r="D243" s="261">
        <v>4308</v>
      </c>
      <c r="E243" s="140">
        <f t="shared" si="68"/>
        <v>63875</v>
      </c>
      <c r="F243" s="140"/>
      <c r="G243" s="253">
        <f>M243</f>
        <v>63875</v>
      </c>
      <c r="H243" s="140">
        <f t="shared" si="69"/>
        <v>63875</v>
      </c>
      <c r="I243" s="140">
        <f t="shared" si="70"/>
        <v>0</v>
      </c>
      <c r="J243" s="140"/>
      <c r="K243" s="140"/>
      <c r="L243" s="140"/>
      <c r="M243" s="140">
        <f t="shared" si="71"/>
        <v>63875</v>
      </c>
      <c r="N243" s="140"/>
      <c r="O243" s="140"/>
      <c r="P243" s="140"/>
      <c r="Q243" s="552">
        <v>63875</v>
      </c>
    </row>
    <row r="244" spans="1:17" s="138" customFormat="1" ht="22.5">
      <c r="A244" s="266"/>
      <c r="B244" s="79" t="s">
        <v>90</v>
      </c>
      <c r="C244" s="34"/>
      <c r="D244" s="261">
        <v>4309</v>
      </c>
      <c r="E244" s="140">
        <f t="shared" si="68"/>
        <v>11272</v>
      </c>
      <c r="F244" s="140">
        <f>H244</f>
        <v>11272</v>
      </c>
      <c r="G244" s="253"/>
      <c r="H244" s="140">
        <f t="shared" si="69"/>
        <v>11272</v>
      </c>
      <c r="I244" s="140">
        <f t="shared" si="70"/>
        <v>11272</v>
      </c>
      <c r="J244" s="140"/>
      <c r="K244" s="140"/>
      <c r="L244" s="552">
        <v>11272</v>
      </c>
      <c r="M244" s="140">
        <f t="shared" si="71"/>
        <v>0</v>
      </c>
      <c r="N244" s="140"/>
      <c r="O244" s="140"/>
      <c r="P244" s="140"/>
      <c r="Q244" s="253"/>
    </row>
    <row r="245" spans="1:17" s="138" customFormat="1" ht="56.25">
      <c r="A245" s="266"/>
      <c r="B245" s="79" t="s">
        <v>238</v>
      </c>
      <c r="C245" s="34"/>
      <c r="D245" s="261">
        <v>4378</v>
      </c>
      <c r="E245" s="140">
        <f t="shared" si="68"/>
        <v>185</v>
      </c>
      <c r="F245" s="140"/>
      <c r="G245" s="253">
        <f>M245</f>
        <v>185</v>
      </c>
      <c r="H245" s="140">
        <f t="shared" si="69"/>
        <v>185</v>
      </c>
      <c r="I245" s="140">
        <f t="shared" si="70"/>
        <v>0</v>
      </c>
      <c r="J245" s="140"/>
      <c r="K245" s="140"/>
      <c r="L245" s="140"/>
      <c r="M245" s="140">
        <f t="shared" si="71"/>
        <v>185</v>
      </c>
      <c r="N245" s="140"/>
      <c r="O245" s="140"/>
      <c r="P245" s="140"/>
      <c r="Q245" s="552">
        <v>185</v>
      </c>
    </row>
    <row r="246" spans="1:17" s="138" customFormat="1" ht="56.25">
      <c r="A246" s="266"/>
      <c r="B246" s="79" t="s">
        <v>238</v>
      </c>
      <c r="C246" s="34"/>
      <c r="D246" s="261">
        <v>4379</v>
      </c>
      <c r="E246" s="140">
        <f t="shared" si="68"/>
        <v>33</v>
      </c>
      <c r="F246" s="140">
        <f>H246</f>
        <v>33</v>
      </c>
      <c r="G246" s="253"/>
      <c r="H246" s="140">
        <f t="shared" si="69"/>
        <v>33</v>
      </c>
      <c r="I246" s="140">
        <f t="shared" si="70"/>
        <v>33</v>
      </c>
      <c r="J246" s="140"/>
      <c r="K246" s="140"/>
      <c r="L246" s="552">
        <v>33</v>
      </c>
      <c r="M246" s="140">
        <f t="shared" si="71"/>
        <v>0</v>
      </c>
      <c r="N246" s="140"/>
      <c r="O246" s="140"/>
      <c r="P246" s="140"/>
      <c r="Q246" s="253"/>
    </row>
    <row r="247" spans="1:17" s="138" customFormat="1" ht="67.5">
      <c r="A247" s="266"/>
      <c r="B247" s="79" t="s">
        <v>199</v>
      </c>
      <c r="C247" s="34"/>
      <c r="D247" s="261">
        <v>4748</v>
      </c>
      <c r="E247" s="140">
        <f t="shared" si="68"/>
        <v>0</v>
      </c>
      <c r="F247" s="140"/>
      <c r="G247" s="253">
        <f>M247</f>
        <v>0</v>
      </c>
      <c r="H247" s="140">
        <f t="shared" si="69"/>
        <v>0</v>
      </c>
      <c r="I247" s="140">
        <f t="shared" si="70"/>
        <v>0</v>
      </c>
      <c r="J247" s="140"/>
      <c r="K247" s="140"/>
      <c r="L247" s="140"/>
      <c r="M247" s="140">
        <f t="shared" si="71"/>
        <v>0</v>
      </c>
      <c r="N247" s="140"/>
      <c r="O247" s="140"/>
      <c r="P247" s="140"/>
      <c r="Q247" s="253"/>
    </row>
    <row r="248" spans="1:17" s="138" customFormat="1" ht="67.5">
      <c r="A248" s="266"/>
      <c r="B248" s="79" t="s">
        <v>199</v>
      </c>
      <c r="C248" s="34"/>
      <c r="D248" s="261">
        <v>4749</v>
      </c>
      <c r="E248" s="140">
        <f t="shared" si="68"/>
        <v>0</v>
      </c>
      <c r="F248" s="140">
        <f>H248</f>
        <v>0</v>
      </c>
      <c r="G248" s="253"/>
      <c r="H248" s="140">
        <f t="shared" si="69"/>
        <v>0</v>
      </c>
      <c r="I248" s="140">
        <f t="shared" si="70"/>
        <v>0</v>
      </c>
      <c r="J248" s="140"/>
      <c r="K248" s="140"/>
      <c r="L248" s="140"/>
      <c r="M248" s="140">
        <f t="shared" si="71"/>
        <v>0</v>
      </c>
      <c r="N248" s="140"/>
      <c r="O248" s="140"/>
      <c r="P248" s="140"/>
      <c r="Q248" s="253"/>
    </row>
    <row r="249" spans="1:17" s="138" customFormat="1" ht="22.5">
      <c r="A249" s="266"/>
      <c r="B249" s="397" t="s">
        <v>115</v>
      </c>
      <c r="C249" s="34"/>
      <c r="D249" s="261">
        <v>4418</v>
      </c>
      <c r="E249" s="140">
        <f t="shared" si="68"/>
        <v>507</v>
      </c>
      <c r="F249" s="140"/>
      <c r="G249" s="253">
        <f>M249</f>
        <v>507</v>
      </c>
      <c r="H249" s="140">
        <f t="shared" si="69"/>
        <v>507</v>
      </c>
      <c r="I249" s="140">
        <f t="shared" si="70"/>
        <v>0</v>
      </c>
      <c r="J249" s="140"/>
      <c r="K249" s="140"/>
      <c r="L249" s="140"/>
      <c r="M249" s="140">
        <f t="shared" si="71"/>
        <v>507</v>
      </c>
      <c r="N249" s="140"/>
      <c r="O249" s="140"/>
      <c r="P249" s="140"/>
      <c r="Q249" s="552">
        <v>507</v>
      </c>
    </row>
    <row r="250" spans="1:17" s="138" customFormat="1" ht="22.5">
      <c r="A250" s="266"/>
      <c r="B250" s="397" t="s">
        <v>115</v>
      </c>
      <c r="C250" s="34"/>
      <c r="D250" s="261">
        <v>4419</v>
      </c>
      <c r="E250" s="140">
        <f t="shared" si="68"/>
        <v>90</v>
      </c>
      <c r="F250" s="140">
        <f>H250</f>
        <v>90</v>
      </c>
      <c r="G250" s="253"/>
      <c r="H250" s="140">
        <f t="shared" si="69"/>
        <v>90</v>
      </c>
      <c r="I250" s="140">
        <f t="shared" si="70"/>
        <v>90</v>
      </c>
      <c r="J250" s="140"/>
      <c r="K250" s="140"/>
      <c r="L250" s="552">
        <v>90</v>
      </c>
      <c r="M250" s="140">
        <f t="shared" si="71"/>
        <v>0</v>
      </c>
      <c r="N250" s="140"/>
      <c r="O250" s="140"/>
      <c r="P250" s="140"/>
      <c r="Q250" s="253"/>
    </row>
    <row r="251" spans="1:19" s="139" customFormat="1" ht="11.25">
      <c r="A251" s="554"/>
      <c r="B251" s="278">
        <v>2010</v>
      </c>
      <c r="C251" s="555"/>
      <c r="D251" s="555"/>
      <c r="E251" s="137">
        <f t="shared" si="68"/>
        <v>100118</v>
      </c>
      <c r="F251" s="137">
        <f>SUM(F231:F250)</f>
        <v>15018</v>
      </c>
      <c r="G251" s="137">
        <f>SUM(G231:G250)</f>
        <v>85100</v>
      </c>
      <c r="H251" s="137">
        <f t="shared" si="69"/>
        <v>100118</v>
      </c>
      <c r="I251" s="137">
        <f t="shared" si="70"/>
        <v>15018</v>
      </c>
      <c r="J251" s="137">
        <f>SUM(J231:J250)</f>
        <v>0</v>
      </c>
      <c r="K251" s="137">
        <f>SUM(K231:K250)</f>
        <v>0</v>
      </c>
      <c r="L251" s="137">
        <f>SUM(L231:L250)</f>
        <v>15018</v>
      </c>
      <c r="M251" s="137">
        <f>N251+O251+P251+Q251</f>
        <v>85100</v>
      </c>
      <c r="N251" s="137">
        <f>SUM(N231:N250)</f>
        <v>0</v>
      </c>
      <c r="O251" s="137">
        <f>SUM(O231:O250)</f>
        <v>0</v>
      </c>
      <c r="P251" s="137">
        <f>SUM(P231:P250)</f>
        <v>0</v>
      </c>
      <c r="Q251" s="137">
        <f>SUM(Q231:Q250)</f>
        <v>85100</v>
      </c>
      <c r="S251" s="556"/>
    </row>
    <row r="252" spans="1:17" s="138" customFormat="1" ht="11.25">
      <c r="A252" s="266"/>
      <c r="B252" s="134">
        <v>2009</v>
      </c>
      <c r="C252" s="136"/>
      <c r="D252" s="136"/>
      <c r="E252" s="135">
        <v>478252</v>
      </c>
      <c r="F252" s="135"/>
      <c r="G252" s="133"/>
      <c r="H252" s="135"/>
      <c r="I252" s="135"/>
      <c r="J252" s="136"/>
      <c r="K252" s="136"/>
      <c r="L252" s="242"/>
      <c r="M252" s="135"/>
      <c r="N252" s="136"/>
      <c r="O252" s="136"/>
      <c r="P252" s="136"/>
      <c r="Q252" s="136"/>
    </row>
    <row r="253" spans="1:17" s="138" customFormat="1" ht="11.25" customHeight="1" hidden="1">
      <c r="A253" s="266" t="s">
        <v>494</v>
      </c>
      <c r="B253" s="277" t="s">
        <v>749</v>
      </c>
      <c r="C253" s="784" t="s">
        <v>479</v>
      </c>
      <c r="D253" s="785"/>
      <c r="E253" s="785"/>
      <c r="F253" s="785"/>
      <c r="G253" s="785"/>
      <c r="H253" s="785"/>
      <c r="I253" s="785"/>
      <c r="J253" s="785"/>
      <c r="K253" s="785"/>
      <c r="L253" s="785"/>
      <c r="M253" s="785"/>
      <c r="N253" s="785"/>
      <c r="O253" s="785"/>
      <c r="P253" s="785"/>
      <c r="Q253" s="786"/>
    </row>
    <row r="254" spans="1:17" s="138" customFormat="1" ht="11.25" customHeight="1" hidden="1">
      <c r="A254" s="266"/>
      <c r="B254" s="275" t="s">
        <v>750</v>
      </c>
      <c r="C254" s="775"/>
      <c r="D254" s="776"/>
      <c r="E254" s="776"/>
      <c r="F254" s="776"/>
      <c r="G254" s="776"/>
      <c r="H254" s="776"/>
      <c r="I254" s="776"/>
      <c r="J254" s="776"/>
      <c r="K254" s="776"/>
      <c r="L254" s="776"/>
      <c r="M254" s="776"/>
      <c r="N254" s="776"/>
      <c r="O254" s="776"/>
      <c r="P254" s="776"/>
      <c r="Q254" s="777"/>
    </row>
    <row r="255" spans="1:17" s="138" customFormat="1" ht="11.25" customHeight="1" hidden="1">
      <c r="A255" s="266"/>
      <c r="B255" s="275" t="s">
        <v>751</v>
      </c>
      <c r="C255" s="775"/>
      <c r="D255" s="776"/>
      <c r="E255" s="776"/>
      <c r="F255" s="776"/>
      <c r="G255" s="776"/>
      <c r="H255" s="776"/>
      <c r="I255" s="776"/>
      <c r="J255" s="776"/>
      <c r="K255" s="776"/>
      <c r="L255" s="776"/>
      <c r="M255" s="776"/>
      <c r="N255" s="776"/>
      <c r="O255" s="776"/>
      <c r="P255" s="776"/>
      <c r="Q255" s="777"/>
    </row>
    <row r="256" spans="1:17" s="138" customFormat="1" ht="11.25" customHeight="1" hidden="1">
      <c r="A256" s="266"/>
      <c r="B256" s="276" t="s">
        <v>752</v>
      </c>
      <c r="C256" s="778"/>
      <c r="D256" s="779"/>
      <c r="E256" s="779"/>
      <c r="F256" s="779"/>
      <c r="G256" s="779"/>
      <c r="H256" s="779"/>
      <c r="I256" s="779"/>
      <c r="J256" s="779"/>
      <c r="K256" s="779"/>
      <c r="L256" s="779"/>
      <c r="M256" s="779"/>
      <c r="N256" s="779"/>
      <c r="O256" s="779"/>
      <c r="P256" s="779"/>
      <c r="Q256" s="780"/>
    </row>
    <row r="257" spans="1:17" s="138" customFormat="1" ht="12.75" hidden="1">
      <c r="A257" s="266"/>
      <c r="B257" s="278" t="s">
        <v>753</v>
      </c>
      <c r="C257" s="34"/>
      <c r="D257" s="141" t="s">
        <v>480</v>
      </c>
      <c r="E257" s="140">
        <f>E278</f>
        <v>0</v>
      </c>
      <c r="F257" s="140">
        <f aca="true" t="shared" si="72" ref="F257:Q257">F278</f>
        <v>0</v>
      </c>
      <c r="G257" s="140">
        <f t="shared" si="72"/>
        <v>0</v>
      </c>
      <c r="H257" s="140">
        <f t="shared" si="72"/>
        <v>0</v>
      </c>
      <c r="I257" s="140">
        <f t="shared" si="72"/>
        <v>0</v>
      </c>
      <c r="J257" s="140">
        <f t="shared" si="72"/>
        <v>0</v>
      </c>
      <c r="K257" s="140">
        <f t="shared" si="72"/>
        <v>0</v>
      </c>
      <c r="L257" s="140">
        <f t="shared" si="72"/>
        <v>0</v>
      </c>
      <c r="M257" s="140">
        <f t="shared" si="72"/>
        <v>0</v>
      </c>
      <c r="N257" s="140">
        <f t="shared" si="72"/>
        <v>0</v>
      </c>
      <c r="O257" s="140">
        <f t="shared" si="72"/>
        <v>0</v>
      </c>
      <c r="P257" s="140">
        <f t="shared" si="72"/>
        <v>0</v>
      </c>
      <c r="Q257" s="117">
        <f t="shared" si="72"/>
        <v>0</v>
      </c>
    </row>
    <row r="258" spans="1:17" s="138" customFormat="1" ht="33.75" hidden="1">
      <c r="A258" s="266"/>
      <c r="B258" s="79" t="s">
        <v>234</v>
      </c>
      <c r="C258" s="34"/>
      <c r="D258" s="261">
        <v>4118</v>
      </c>
      <c r="E258" s="140">
        <f aca="true" t="shared" si="73" ref="E258:E278">F258+G258</f>
        <v>0</v>
      </c>
      <c r="F258" s="140"/>
      <c r="G258" s="253">
        <f>Q258</f>
        <v>0</v>
      </c>
      <c r="H258" s="140">
        <f aca="true" t="shared" si="74" ref="H258:H273">I258+M258</f>
        <v>0</v>
      </c>
      <c r="I258" s="140">
        <f aca="true" t="shared" si="75" ref="I258:I273">SUM(J258:L258)</f>
        <v>0</v>
      </c>
      <c r="J258" s="140"/>
      <c r="K258" s="140"/>
      <c r="L258" s="140"/>
      <c r="M258" s="140">
        <f aca="true" t="shared" si="76" ref="M258:M273">SUM(N258:Q258)</f>
        <v>0</v>
      </c>
      <c r="N258" s="140"/>
      <c r="O258" s="140"/>
      <c r="P258" s="140"/>
      <c r="Q258" s="253"/>
    </row>
    <row r="259" spans="1:17" s="138" customFormat="1" ht="33.75" hidden="1">
      <c r="A259" s="266"/>
      <c r="B259" s="79" t="s">
        <v>234</v>
      </c>
      <c r="C259" s="34"/>
      <c r="D259" s="261">
        <v>4119</v>
      </c>
      <c r="E259" s="140">
        <f t="shared" si="73"/>
        <v>0</v>
      </c>
      <c r="F259" s="140">
        <f>L259</f>
        <v>0</v>
      </c>
      <c r="G259" s="253"/>
      <c r="H259" s="140">
        <f t="shared" si="74"/>
        <v>0</v>
      </c>
      <c r="I259" s="140">
        <f t="shared" si="75"/>
        <v>0</v>
      </c>
      <c r="J259" s="140"/>
      <c r="K259" s="140"/>
      <c r="L259" s="140"/>
      <c r="M259" s="140">
        <f t="shared" si="76"/>
        <v>0</v>
      </c>
      <c r="N259" s="140"/>
      <c r="O259" s="140"/>
      <c r="P259" s="140"/>
      <c r="Q259" s="253"/>
    </row>
    <row r="260" spans="1:17" s="138" customFormat="1" ht="22.5" hidden="1">
      <c r="A260" s="266"/>
      <c r="B260" s="79" t="s">
        <v>236</v>
      </c>
      <c r="C260" s="34"/>
      <c r="D260" s="261">
        <v>4128</v>
      </c>
      <c r="E260" s="140">
        <f t="shared" si="73"/>
        <v>0</v>
      </c>
      <c r="F260" s="140"/>
      <c r="G260" s="253">
        <f>Q260</f>
        <v>0</v>
      </c>
      <c r="H260" s="140">
        <f t="shared" si="74"/>
        <v>0</v>
      </c>
      <c r="I260" s="140">
        <f t="shared" si="75"/>
        <v>0</v>
      </c>
      <c r="J260" s="140"/>
      <c r="K260" s="140"/>
      <c r="L260" s="140"/>
      <c r="M260" s="140">
        <f t="shared" si="76"/>
        <v>0</v>
      </c>
      <c r="N260" s="140"/>
      <c r="O260" s="140"/>
      <c r="P260" s="140"/>
      <c r="Q260" s="253"/>
    </row>
    <row r="261" spans="1:17" s="138" customFormat="1" ht="22.5" hidden="1">
      <c r="A261" s="266"/>
      <c r="B261" s="79" t="s">
        <v>236</v>
      </c>
      <c r="C261" s="34"/>
      <c r="D261" s="261">
        <v>4129</v>
      </c>
      <c r="E261" s="140">
        <f t="shared" si="73"/>
        <v>0</v>
      </c>
      <c r="F261" s="140">
        <f>L261</f>
        <v>0</v>
      </c>
      <c r="G261" s="253"/>
      <c r="H261" s="140">
        <f t="shared" si="74"/>
        <v>0</v>
      </c>
      <c r="I261" s="140">
        <f t="shared" si="75"/>
        <v>0</v>
      </c>
      <c r="J261" s="140"/>
      <c r="K261" s="140"/>
      <c r="L261" s="140"/>
      <c r="M261" s="140">
        <f t="shared" si="76"/>
        <v>0</v>
      </c>
      <c r="N261" s="140"/>
      <c r="O261" s="140"/>
      <c r="P261" s="140"/>
      <c r="Q261" s="253"/>
    </row>
    <row r="262" spans="1:17" s="138" customFormat="1" ht="101.25" hidden="1">
      <c r="A262" s="266"/>
      <c r="B262" s="79" t="s">
        <v>431</v>
      </c>
      <c r="C262" s="34"/>
      <c r="D262" s="264">
        <v>2318</v>
      </c>
      <c r="E262" s="140">
        <f>F262+G262</f>
        <v>0</v>
      </c>
      <c r="F262" s="140"/>
      <c r="G262" s="253">
        <f>M262</f>
        <v>0</v>
      </c>
      <c r="H262" s="140">
        <f>I262+M262</f>
        <v>0</v>
      </c>
      <c r="I262" s="140">
        <f>SUM(J262:L262)</f>
        <v>0</v>
      </c>
      <c r="J262" s="140"/>
      <c r="K262" s="140"/>
      <c r="L262" s="140"/>
      <c r="M262" s="140">
        <f>SUM(N262:Q262)</f>
        <v>0</v>
      </c>
      <c r="N262" s="140"/>
      <c r="O262" s="140"/>
      <c r="P262" s="140"/>
      <c r="Q262" s="253"/>
    </row>
    <row r="263" spans="1:17" s="138" customFormat="1" ht="101.25" hidden="1">
      <c r="A263" s="266"/>
      <c r="B263" s="79" t="s">
        <v>432</v>
      </c>
      <c r="C263" s="34"/>
      <c r="D263" s="264">
        <v>2319</v>
      </c>
      <c r="E263" s="140">
        <f>F263+G263</f>
        <v>0</v>
      </c>
      <c r="F263" s="140">
        <f>H263</f>
        <v>0</v>
      </c>
      <c r="G263" s="253">
        <f>Q263</f>
        <v>0</v>
      </c>
      <c r="H263" s="140">
        <f>I263+M263</f>
        <v>0</v>
      </c>
      <c r="I263" s="140">
        <f>SUM(J263:L263)</f>
        <v>0</v>
      </c>
      <c r="J263" s="140"/>
      <c r="K263" s="140"/>
      <c r="L263" s="140"/>
      <c r="M263" s="140">
        <f>SUM(N263:Q263)</f>
        <v>0</v>
      </c>
      <c r="N263" s="140"/>
      <c r="O263" s="140"/>
      <c r="P263" s="140"/>
      <c r="Q263" s="253"/>
    </row>
    <row r="264" spans="1:17" s="138" customFormat="1" ht="101.25" hidden="1">
      <c r="A264" s="266"/>
      <c r="B264" s="79" t="s">
        <v>128</v>
      </c>
      <c r="C264" s="34"/>
      <c r="D264" s="264">
        <v>2328</v>
      </c>
      <c r="E264" s="140">
        <f>F264+G264</f>
        <v>0</v>
      </c>
      <c r="F264" s="140"/>
      <c r="G264" s="253">
        <f>Q264</f>
        <v>0</v>
      </c>
      <c r="H264" s="140">
        <f>I264+M264</f>
        <v>0</v>
      </c>
      <c r="I264" s="140">
        <f>SUM(J264:L264)</f>
        <v>0</v>
      </c>
      <c r="J264" s="140"/>
      <c r="K264" s="140"/>
      <c r="L264" s="140"/>
      <c r="M264" s="140">
        <f>SUM(N264:Q264)</f>
        <v>0</v>
      </c>
      <c r="N264" s="140"/>
      <c r="O264" s="140"/>
      <c r="P264" s="140"/>
      <c r="Q264" s="253"/>
    </row>
    <row r="265" spans="1:17" s="138" customFormat="1" ht="101.25" hidden="1">
      <c r="A265" s="266"/>
      <c r="B265" s="79" t="s">
        <v>128</v>
      </c>
      <c r="C265" s="34"/>
      <c r="D265" s="264">
        <v>2329</v>
      </c>
      <c r="E265" s="140">
        <f>F265+G265</f>
        <v>0</v>
      </c>
      <c r="F265" s="140">
        <f>L265</f>
        <v>0</v>
      </c>
      <c r="G265" s="253"/>
      <c r="H265" s="140">
        <f>I265+M265</f>
        <v>0</v>
      </c>
      <c r="I265" s="140">
        <f>SUM(J265:L265)</f>
        <v>0</v>
      </c>
      <c r="J265" s="140"/>
      <c r="K265" s="140"/>
      <c r="L265" s="140"/>
      <c r="M265" s="140">
        <f>SUM(N265:Q265)</f>
        <v>0</v>
      </c>
      <c r="N265" s="140"/>
      <c r="O265" s="140"/>
      <c r="P265" s="140"/>
      <c r="Q265" s="253"/>
    </row>
    <row r="266" spans="1:17" s="138" customFormat="1" ht="22.5" hidden="1">
      <c r="A266" s="266"/>
      <c r="B266" s="79" t="s">
        <v>196</v>
      </c>
      <c r="C266" s="34"/>
      <c r="D266" s="261">
        <v>4178</v>
      </c>
      <c r="E266" s="140">
        <f t="shared" si="73"/>
        <v>0</v>
      </c>
      <c r="F266" s="140"/>
      <c r="G266" s="253">
        <f>M266</f>
        <v>0</v>
      </c>
      <c r="H266" s="140">
        <f t="shared" si="74"/>
        <v>0</v>
      </c>
      <c r="I266" s="140">
        <f t="shared" si="75"/>
        <v>0</v>
      </c>
      <c r="J266" s="140"/>
      <c r="K266" s="140"/>
      <c r="L266" s="140"/>
      <c r="M266" s="140">
        <f t="shared" si="76"/>
        <v>0</v>
      </c>
      <c r="N266" s="140"/>
      <c r="O266" s="140"/>
      <c r="P266" s="140"/>
      <c r="Q266" s="253"/>
    </row>
    <row r="267" spans="1:17" s="138" customFormat="1" ht="22.5" hidden="1">
      <c r="A267" s="266"/>
      <c r="B267" s="79" t="s">
        <v>196</v>
      </c>
      <c r="C267" s="34"/>
      <c r="D267" s="261">
        <v>4179</v>
      </c>
      <c r="E267" s="140">
        <f t="shared" si="73"/>
        <v>0</v>
      </c>
      <c r="F267" s="140">
        <f>I267</f>
        <v>0</v>
      </c>
      <c r="G267" s="253"/>
      <c r="H267" s="140">
        <f t="shared" si="74"/>
        <v>0</v>
      </c>
      <c r="I267" s="140">
        <f t="shared" si="75"/>
        <v>0</v>
      </c>
      <c r="J267" s="140"/>
      <c r="K267" s="140"/>
      <c r="L267" s="140"/>
      <c r="M267" s="140">
        <f t="shared" si="76"/>
        <v>0</v>
      </c>
      <c r="N267" s="140"/>
      <c r="O267" s="140"/>
      <c r="P267" s="140"/>
      <c r="Q267" s="253"/>
    </row>
    <row r="268" spans="1:17" s="138" customFormat="1" ht="22.5" hidden="1">
      <c r="A268" s="266"/>
      <c r="B268" s="79" t="s">
        <v>107</v>
      </c>
      <c r="C268" s="34"/>
      <c r="D268" s="261">
        <v>4218</v>
      </c>
      <c r="E268" s="140">
        <f t="shared" si="73"/>
        <v>0</v>
      </c>
      <c r="F268" s="140"/>
      <c r="G268" s="253">
        <f>M268</f>
        <v>0</v>
      </c>
      <c r="H268" s="140">
        <f t="shared" si="74"/>
        <v>0</v>
      </c>
      <c r="I268" s="140">
        <f t="shared" si="75"/>
        <v>0</v>
      </c>
      <c r="J268" s="140"/>
      <c r="K268" s="140"/>
      <c r="L268" s="140"/>
      <c r="M268" s="140">
        <f t="shared" si="76"/>
        <v>0</v>
      </c>
      <c r="N268" s="140"/>
      <c r="O268" s="140"/>
      <c r="P268" s="140"/>
      <c r="Q268" s="253"/>
    </row>
    <row r="269" spans="1:17" s="138" customFormat="1" ht="22.5" hidden="1">
      <c r="A269" s="266"/>
      <c r="B269" s="79" t="s">
        <v>107</v>
      </c>
      <c r="C269" s="34"/>
      <c r="D269" s="261">
        <v>4219</v>
      </c>
      <c r="E269" s="140">
        <f t="shared" si="73"/>
        <v>0</v>
      </c>
      <c r="F269" s="140">
        <f>H269</f>
        <v>0</v>
      </c>
      <c r="G269" s="253"/>
      <c r="H269" s="140">
        <f t="shared" si="74"/>
        <v>0</v>
      </c>
      <c r="I269" s="140">
        <f t="shared" si="75"/>
        <v>0</v>
      </c>
      <c r="J269" s="140"/>
      <c r="K269" s="140"/>
      <c r="L269" s="140"/>
      <c r="M269" s="140">
        <f t="shared" si="76"/>
        <v>0</v>
      </c>
      <c r="N269" s="140"/>
      <c r="O269" s="140"/>
      <c r="P269" s="140"/>
      <c r="Q269" s="253"/>
    </row>
    <row r="270" spans="1:17" s="138" customFormat="1" ht="45" hidden="1">
      <c r="A270" s="266"/>
      <c r="B270" s="393" t="s">
        <v>239</v>
      </c>
      <c r="C270" s="34"/>
      <c r="D270" s="261">
        <v>4758</v>
      </c>
      <c r="E270" s="140">
        <f t="shared" si="73"/>
        <v>0</v>
      </c>
      <c r="F270" s="140"/>
      <c r="G270" s="253">
        <f>M270</f>
        <v>0</v>
      </c>
      <c r="H270" s="140">
        <f t="shared" si="74"/>
        <v>0</v>
      </c>
      <c r="I270" s="140">
        <f t="shared" si="75"/>
        <v>0</v>
      </c>
      <c r="J270" s="140"/>
      <c r="K270" s="140"/>
      <c r="L270" s="140"/>
      <c r="M270" s="140">
        <f t="shared" si="76"/>
        <v>0</v>
      </c>
      <c r="N270" s="140"/>
      <c r="O270" s="140"/>
      <c r="P270" s="140"/>
      <c r="Q270" s="253"/>
    </row>
    <row r="271" spans="1:17" s="138" customFormat="1" ht="45" hidden="1">
      <c r="A271" s="266"/>
      <c r="B271" s="393" t="s">
        <v>239</v>
      </c>
      <c r="C271" s="34"/>
      <c r="D271" s="261">
        <v>4759</v>
      </c>
      <c r="E271" s="140">
        <f t="shared" si="73"/>
        <v>0</v>
      </c>
      <c r="F271" s="140">
        <f>H271</f>
        <v>0</v>
      </c>
      <c r="G271" s="253"/>
      <c r="H271" s="140">
        <f t="shared" si="74"/>
        <v>0</v>
      </c>
      <c r="I271" s="140">
        <f t="shared" si="75"/>
        <v>0</v>
      </c>
      <c r="J271" s="140"/>
      <c r="K271" s="140"/>
      <c r="L271" s="140"/>
      <c r="M271" s="140">
        <f t="shared" si="76"/>
        <v>0</v>
      </c>
      <c r="N271" s="140"/>
      <c r="O271" s="140"/>
      <c r="P271" s="140"/>
      <c r="Q271" s="253"/>
    </row>
    <row r="272" spans="1:17" s="138" customFormat="1" ht="22.5" hidden="1">
      <c r="A272" s="266"/>
      <c r="B272" s="79" t="s">
        <v>90</v>
      </c>
      <c r="C272" s="34"/>
      <c r="D272" s="261">
        <v>4308</v>
      </c>
      <c r="E272" s="140">
        <f t="shared" si="73"/>
        <v>0</v>
      </c>
      <c r="F272" s="140"/>
      <c r="G272" s="253">
        <f>M272</f>
        <v>0</v>
      </c>
      <c r="H272" s="140">
        <f t="shared" si="74"/>
        <v>0</v>
      </c>
      <c r="I272" s="140">
        <f t="shared" si="75"/>
        <v>0</v>
      </c>
      <c r="J272" s="140"/>
      <c r="K272" s="140"/>
      <c r="L272" s="140"/>
      <c r="M272" s="140">
        <f t="shared" si="76"/>
        <v>0</v>
      </c>
      <c r="N272" s="140"/>
      <c r="O272" s="140"/>
      <c r="P272" s="140"/>
      <c r="Q272" s="253"/>
    </row>
    <row r="273" spans="1:17" s="138" customFormat="1" ht="22.5" hidden="1">
      <c r="A273" s="266"/>
      <c r="B273" s="79" t="s">
        <v>90</v>
      </c>
      <c r="C273" s="34"/>
      <c r="D273" s="261">
        <v>4309</v>
      </c>
      <c r="E273" s="140">
        <f t="shared" si="73"/>
        <v>0</v>
      </c>
      <c r="F273" s="140">
        <f>H273</f>
        <v>0</v>
      </c>
      <c r="G273" s="253"/>
      <c r="H273" s="140">
        <f t="shared" si="74"/>
        <v>0</v>
      </c>
      <c r="I273" s="140">
        <f t="shared" si="75"/>
        <v>0</v>
      </c>
      <c r="J273" s="140"/>
      <c r="K273" s="140"/>
      <c r="L273" s="140"/>
      <c r="M273" s="140">
        <f t="shared" si="76"/>
        <v>0</v>
      </c>
      <c r="N273" s="140"/>
      <c r="O273" s="140"/>
      <c r="P273" s="140"/>
      <c r="Q273" s="253"/>
    </row>
    <row r="274" spans="1:17" s="138" customFormat="1" ht="22.5" hidden="1">
      <c r="A274" s="266"/>
      <c r="B274" s="79" t="s">
        <v>115</v>
      </c>
      <c r="C274" s="34"/>
      <c r="D274" s="261">
        <v>4418</v>
      </c>
      <c r="E274" s="140">
        <f>F274+G274</f>
        <v>0</v>
      </c>
      <c r="F274" s="140"/>
      <c r="G274" s="253">
        <f>M274</f>
        <v>0</v>
      </c>
      <c r="H274" s="140">
        <f>I274+M274</f>
        <v>0</v>
      </c>
      <c r="I274" s="140">
        <f>SUM(J274:L274)</f>
        <v>0</v>
      </c>
      <c r="J274" s="140"/>
      <c r="K274" s="140"/>
      <c r="L274" s="140"/>
      <c r="M274" s="140">
        <f>SUM(N274:Q274)</f>
        <v>0</v>
      </c>
      <c r="N274" s="140"/>
      <c r="O274" s="140"/>
      <c r="P274" s="140"/>
      <c r="Q274" s="253"/>
    </row>
    <row r="275" spans="1:17" s="138" customFormat="1" ht="22.5" hidden="1">
      <c r="A275" s="266"/>
      <c r="B275" s="79" t="s">
        <v>115</v>
      </c>
      <c r="C275" s="34"/>
      <c r="D275" s="261">
        <v>4419</v>
      </c>
      <c r="E275" s="140">
        <f>F275+G275</f>
        <v>0</v>
      </c>
      <c r="F275" s="140">
        <f>H275</f>
        <v>0</v>
      </c>
      <c r="G275" s="253"/>
      <c r="H275" s="140">
        <f>I275+M275</f>
        <v>0</v>
      </c>
      <c r="I275" s="140">
        <f>SUM(J275:L275)</f>
        <v>0</v>
      </c>
      <c r="J275" s="140"/>
      <c r="K275" s="140"/>
      <c r="L275" s="140"/>
      <c r="M275" s="140">
        <f>SUM(N275:Q275)</f>
        <v>0</v>
      </c>
      <c r="N275" s="140"/>
      <c r="O275" s="140"/>
      <c r="P275" s="140"/>
      <c r="Q275" s="253"/>
    </row>
    <row r="276" spans="1:17" s="138" customFormat="1" ht="67.5" hidden="1">
      <c r="A276" s="266"/>
      <c r="B276" s="398" t="s">
        <v>199</v>
      </c>
      <c r="C276" s="34"/>
      <c r="D276" s="261">
        <v>4748</v>
      </c>
      <c r="E276" s="140">
        <f t="shared" si="73"/>
        <v>0</v>
      </c>
      <c r="F276" s="140"/>
      <c r="G276" s="253">
        <f>M276</f>
        <v>0</v>
      </c>
      <c r="H276" s="140">
        <f>I276+M276</f>
        <v>0</v>
      </c>
      <c r="I276" s="140">
        <f>SUM(J276:L276)</f>
        <v>0</v>
      </c>
      <c r="J276" s="140"/>
      <c r="K276" s="140"/>
      <c r="L276" s="140"/>
      <c r="M276" s="140">
        <f>SUM(N276:Q276)</f>
        <v>0</v>
      </c>
      <c r="N276" s="140"/>
      <c r="O276" s="140"/>
      <c r="P276" s="140"/>
      <c r="Q276" s="253"/>
    </row>
    <row r="277" spans="1:17" s="138" customFormat="1" ht="67.5" hidden="1">
      <c r="A277" s="266"/>
      <c r="B277" s="398" t="s">
        <v>199</v>
      </c>
      <c r="C277" s="34"/>
      <c r="D277" s="261">
        <v>4749</v>
      </c>
      <c r="E277" s="140">
        <f t="shared" si="73"/>
        <v>0</v>
      </c>
      <c r="F277" s="140">
        <f>H277</f>
        <v>0</v>
      </c>
      <c r="G277" s="253"/>
      <c r="H277" s="140">
        <f>I277+M277</f>
        <v>0</v>
      </c>
      <c r="I277" s="140">
        <f>SUM(J277:L277)</f>
        <v>0</v>
      </c>
      <c r="J277" s="140"/>
      <c r="K277" s="140"/>
      <c r="L277" s="140"/>
      <c r="M277" s="140">
        <f>SUM(N277:Q277)</f>
        <v>0</v>
      </c>
      <c r="N277" s="140"/>
      <c r="O277" s="140"/>
      <c r="P277" s="140"/>
      <c r="Q277" s="253"/>
    </row>
    <row r="278" spans="1:19" s="138" customFormat="1" ht="11.25" hidden="1">
      <c r="A278" s="266"/>
      <c r="B278" s="134">
        <v>2009</v>
      </c>
      <c r="C278" s="136"/>
      <c r="D278" s="136"/>
      <c r="E278" s="135">
        <f t="shared" si="73"/>
        <v>0</v>
      </c>
      <c r="F278" s="135">
        <f>SUM(F258:F277)</f>
        <v>0</v>
      </c>
      <c r="G278" s="135">
        <f>SUM(G258:G277)</f>
        <v>0</v>
      </c>
      <c r="H278" s="135">
        <f>I278+M278</f>
        <v>0</v>
      </c>
      <c r="I278" s="135">
        <f>SUM(I258:I277)</f>
        <v>0</v>
      </c>
      <c r="J278" s="135">
        <f>SUM(J258:J277)</f>
        <v>0</v>
      </c>
      <c r="K278" s="135">
        <f>SUM(K258:K277)</f>
        <v>0</v>
      </c>
      <c r="L278" s="135">
        <f>SUM(L258:L277)</f>
        <v>0</v>
      </c>
      <c r="M278" s="135">
        <f>N278+O278+P278+Q278</f>
        <v>0</v>
      </c>
      <c r="N278" s="135">
        <f>SUM(N258:N277)</f>
        <v>0</v>
      </c>
      <c r="O278" s="135">
        <f>SUM(O258:O277)</f>
        <v>0</v>
      </c>
      <c r="P278" s="135">
        <f>SUM(P258:P277)</f>
        <v>0</v>
      </c>
      <c r="Q278" s="135">
        <f>SUM(Q258:Q277)</f>
        <v>0</v>
      </c>
      <c r="S278" s="392"/>
    </row>
    <row r="279" spans="1:17" ht="15.75" customHeight="1" hidden="1">
      <c r="A279" s="259" t="s">
        <v>498</v>
      </c>
      <c r="B279" s="277" t="s">
        <v>749</v>
      </c>
      <c r="C279" s="784" t="s">
        <v>571</v>
      </c>
      <c r="D279" s="785"/>
      <c r="E279" s="785"/>
      <c r="F279" s="785"/>
      <c r="G279" s="785"/>
      <c r="H279" s="785"/>
      <c r="I279" s="785"/>
      <c r="J279" s="785"/>
      <c r="K279" s="785"/>
      <c r="L279" s="785"/>
      <c r="M279" s="785"/>
      <c r="N279" s="785"/>
      <c r="O279" s="785"/>
      <c r="P279" s="785"/>
      <c r="Q279" s="786"/>
    </row>
    <row r="280" spans="1:17" ht="12.75" customHeight="1" hidden="1">
      <c r="A280" s="259"/>
      <c r="B280" s="275" t="s">
        <v>750</v>
      </c>
      <c r="C280" s="775"/>
      <c r="D280" s="776"/>
      <c r="E280" s="776"/>
      <c r="F280" s="776"/>
      <c r="G280" s="776"/>
      <c r="H280" s="776"/>
      <c r="I280" s="776"/>
      <c r="J280" s="776"/>
      <c r="K280" s="776"/>
      <c r="L280" s="776"/>
      <c r="M280" s="776"/>
      <c r="N280" s="776"/>
      <c r="O280" s="776"/>
      <c r="P280" s="776"/>
      <c r="Q280" s="777"/>
    </row>
    <row r="281" spans="1:17" ht="12.75" customHeight="1" hidden="1">
      <c r="A281" s="259"/>
      <c r="B281" s="275" t="s">
        <v>751</v>
      </c>
      <c r="C281" s="775"/>
      <c r="D281" s="776"/>
      <c r="E281" s="776"/>
      <c r="F281" s="776"/>
      <c r="G281" s="776"/>
      <c r="H281" s="776"/>
      <c r="I281" s="776"/>
      <c r="J281" s="776"/>
      <c r="K281" s="776"/>
      <c r="L281" s="776"/>
      <c r="M281" s="776"/>
      <c r="N281" s="776"/>
      <c r="O281" s="776"/>
      <c r="P281" s="776"/>
      <c r="Q281" s="777"/>
    </row>
    <row r="282" spans="1:17" ht="12.75" customHeight="1" hidden="1">
      <c r="A282" s="259"/>
      <c r="B282" s="276" t="s">
        <v>752</v>
      </c>
      <c r="C282" s="778"/>
      <c r="D282" s="779"/>
      <c r="E282" s="779"/>
      <c r="F282" s="779"/>
      <c r="G282" s="779"/>
      <c r="H282" s="779"/>
      <c r="I282" s="779"/>
      <c r="J282" s="779"/>
      <c r="K282" s="779"/>
      <c r="L282" s="779"/>
      <c r="M282" s="779"/>
      <c r="N282" s="779"/>
      <c r="O282" s="779"/>
      <c r="P282" s="779"/>
      <c r="Q282" s="780"/>
    </row>
    <row r="283" spans="1:17" s="139" customFormat="1" ht="12.75" hidden="1">
      <c r="A283" s="259"/>
      <c r="B283" s="278" t="s">
        <v>753</v>
      </c>
      <c r="C283" s="34"/>
      <c r="D283" s="141" t="s">
        <v>132</v>
      </c>
      <c r="E283" s="140">
        <f>E311</f>
        <v>0</v>
      </c>
      <c r="F283" s="140">
        <f aca="true" t="shared" si="77" ref="F283:Q283">F311</f>
        <v>0</v>
      </c>
      <c r="G283" s="140">
        <f t="shared" si="77"/>
        <v>0</v>
      </c>
      <c r="H283" s="140">
        <f t="shared" si="77"/>
        <v>0</v>
      </c>
      <c r="I283" s="140">
        <f t="shared" si="77"/>
        <v>0</v>
      </c>
      <c r="J283" s="140">
        <f t="shared" si="77"/>
        <v>0</v>
      </c>
      <c r="K283" s="140">
        <f t="shared" si="77"/>
        <v>0</v>
      </c>
      <c r="L283" s="140">
        <f t="shared" si="77"/>
        <v>0</v>
      </c>
      <c r="M283" s="140">
        <f t="shared" si="77"/>
        <v>0</v>
      </c>
      <c r="N283" s="140">
        <f t="shared" si="77"/>
        <v>0</v>
      </c>
      <c r="O283" s="140">
        <f t="shared" si="77"/>
        <v>0</v>
      </c>
      <c r="P283" s="140">
        <f t="shared" si="77"/>
        <v>0</v>
      </c>
      <c r="Q283" s="140">
        <f t="shared" si="77"/>
        <v>0</v>
      </c>
    </row>
    <row r="284" spans="1:17" s="139" customFormat="1" ht="12.75" customHeight="1" hidden="1">
      <c r="A284" s="259"/>
      <c r="B284" s="134" t="s">
        <v>622</v>
      </c>
      <c r="C284" s="34"/>
      <c r="D284" s="141" t="s">
        <v>630</v>
      </c>
      <c r="E284" s="140"/>
      <c r="F284" s="140"/>
      <c r="G284" s="140"/>
      <c r="H284" s="140"/>
      <c r="I284" s="140"/>
      <c r="J284" s="140"/>
      <c r="K284" s="140"/>
      <c r="L284" s="140"/>
      <c r="M284" s="140"/>
      <c r="N284" s="140"/>
      <c r="O284" s="140"/>
      <c r="P284" s="140"/>
      <c r="Q284" s="117" t="e">
        <f>'[1]2'!G722</f>
        <v>#REF!</v>
      </c>
    </row>
    <row r="285" spans="1:17" s="139" customFormat="1" ht="22.5" customHeight="1" hidden="1">
      <c r="A285" s="259"/>
      <c r="B285" s="134" t="s">
        <v>623</v>
      </c>
      <c r="C285" s="34"/>
      <c r="D285" s="141" t="s">
        <v>631</v>
      </c>
      <c r="E285" s="140"/>
      <c r="F285" s="140"/>
      <c r="G285" s="140"/>
      <c r="H285" s="140"/>
      <c r="I285" s="140"/>
      <c r="J285" s="140"/>
      <c r="K285" s="140"/>
      <c r="L285" s="140"/>
      <c r="M285" s="140"/>
      <c r="N285" s="140"/>
      <c r="O285" s="140"/>
      <c r="P285" s="140"/>
      <c r="Q285" s="117"/>
    </row>
    <row r="286" spans="1:17" s="139" customFormat="1" ht="12.75" customHeight="1" hidden="1">
      <c r="A286" s="259"/>
      <c r="B286" s="134" t="s">
        <v>624</v>
      </c>
      <c r="C286" s="34"/>
      <c r="D286" s="141" t="s">
        <v>632</v>
      </c>
      <c r="E286" s="140"/>
      <c r="F286" s="140"/>
      <c r="G286" s="140"/>
      <c r="H286" s="140"/>
      <c r="I286" s="140"/>
      <c r="J286" s="140"/>
      <c r="K286" s="140"/>
      <c r="L286" s="140"/>
      <c r="M286" s="140"/>
      <c r="N286" s="140"/>
      <c r="O286" s="140"/>
      <c r="P286" s="140"/>
      <c r="Q286" s="117"/>
    </row>
    <row r="287" spans="1:17" s="139" customFormat="1" ht="22.5" customHeight="1" hidden="1">
      <c r="A287" s="259"/>
      <c r="B287" s="134" t="s">
        <v>625</v>
      </c>
      <c r="C287" s="34"/>
      <c r="D287" s="141" t="s">
        <v>633</v>
      </c>
      <c r="E287" s="140"/>
      <c r="F287" s="140"/>
      <c r="G287" s="140"/>
      <c r="H287" s="140"/>
      <c r="I287" s="140"/>
      <c r="J287" s="140"/>
      <c r="K287" s="140"/>
      <c r="L287" s="140"/>
      <c r="M287" s="140"/>
      <c r="N287" s="140"/>
      <c r="O287" s="140"/>
      <c r="P287" s="140"/>
      <c r="Q287" s="117"/>
    </row>
    <row r="288" spans="1:17" s="139" customFormat="1" ht="22.5" customHeight="1" hidden="1">
      <c r="A288" s="259"/>
      <c r="B288" s="134" t="s">
        <v>428</v>
      </c>
      <c r="C288" s="34"/>
      <c r="D288" s="141" t="s">
        <v>427</v>
      </c>
      <c r="E288" s="140"/>
      <c r="F288" s="140"/>
      <c r="G288" s="140"/>
      <c r="H288" s="140"/>
      <c r="I288" s="140"/>
      <c r="J288" s="140"/>
      <c r="K288" s="140"/>
      <c r="L288" s="140"/>
      <c r="M288" s="140"/>
      <c r="N288" s="140"/>
      <c r="O288" s="140"/>
      <c r="P288" s="140"/>
      <c r="Q288" s="117"/>
    </row>
    <row r="289" spans="1:17" s="139" customFormat="1" ht="33.75" customHeight="1" hidden="1">
      <c r="A289" s="259"/>
      <c r="B289" s="134" t="s">
        <v>626</v>
      </c>
      <c r="C289" s="34"/>
      <c r="D289" s="141" t="s">
        <v>634</v>
      </c>
      <c r="E289" s="140"/>
      <c r="F289" s="140"/>
      <c r="G289" s="140"/>
      <c r="H289" s="140"/>
      <c r="I289" s="140"/>
      <c r="J289" s="140"/>
      <c r="K289" s="140"/>
      <c r="L289" s="140"/>
      <c r="M289" s="140"/>
      <c r="N289" s="140"/>
      <c r="O289" s="140"/>
      <c r="P289" s="140"/>
      <c r="Q289" s="117" t="e">
        <f>'[1]2'!L749</f>
        <v>#REF!</v>
      </c>
    </row>
    <row r="290" spans="1:17" s="139" customFormat="1" ht="12.75" customHeight="1" hidden="1">
      <c r="A290" s="259"/>
      <c r="B290" s="278"/>
      <c r="C290" s="34"/>
      <c r="D290" s="141"/>
      <c r="E290" s="140"/>
      <c r="F290" s="137"/>
      <c r="G290" s="137"/>
      <c r="H290" s="133"/>
      <c r="I290" s="34"/>
      <c r="J290" s="137"/>
      <c r="K290" s="137"/>
      <c r="L290" s="137"/>
      <c r="M290" s="34"/>
      <c r="N290" s="137"/>
      <c r="O290" s="137"/>
      <c r="P290" s="137"/>
      <c r="Q290" s="137"/>
    </row>
    <row r="291" spans="1:17" s="138" customFormat="1" ht="33.75" hidden="1">
      <c r="A291" s="259"/>
      <c r="B291" s="79" t="s">
        <v>234</v>
      </c>
      <c r="C291" s="34"/>
      <c r="D291" s="261">
        <v>4118</v>
      </c>
      <c r="E291" s="140">
        <f aca="true" t="shared" si="78" ref="E291:E296">F291+G291</f>
        <v>0</v>
      </c>
      <c r="F291" s="140"/>
      <c r="G291" s="253">
        <f>Q291</f>
        <v>0</v>
      </c>
      <c r="H291" s="140">
        <f aca="true" t="shared" si="79" ref="H291:H296">I291+M291</f>
        <v>0</v>
      </c>
      <c r="I291" s="140">
        <f aca="true" t="shared" si="80" ref="I291:I296">SUM(J291:L291)</f>
        <v>0</v>
      </c>
      <c r="J291" s="140"/>
      <c r="K291" s="140"/>
      <c r="L291" s="140"/>
      <c r="M291" s="140">
        <f aca="true" t="shared" si="81" ref="M291:M296">SUM(N291:Q291)</f>
        <v>0</v>
      </c>
      <c r="N291" s="140"/>
      <c r="O291" s="140"/>
      <c r="P291" s="140"/>
      <c r="Q291" s="253"/>
    </row>
    <row r="292" spans="1:17" s="138" customFormat="1" ht="33.75" hidden="1">
      <c r="A292" s="259"/>
      <c r="B292" s="79" t="s">
        <v>234</v>
      </c>
      <c r="C292" s="34"/>
      <c r="D292" s="261">
        <v>4119</v>
      </c>
      <c r="E292" s="140">
        <f t="shared" si="78"/>
        <v>0</v>
      </c>
      <c r="F292" s="140">
        <f>L292</f>
        <v>0</v>
      </c>
      <c r="G292" s="253"/>
      <c r="H292" s="140">
        <f t="shared" si="79"/>
        <v>0</v>
      </c>
      <c r="I292" s="140">
        <f t="shared" si="80"/>
        <v>0</v>
      </c>
      <c r="J292" s="140"/>
      <c r="K292" s="140"/>
      <c r="L292" s="140"/>
      <c r="M292" s="140">
        <f t="shared" si="81"/>
        <v>0</v>
      </c>
      <c r="N292" s="140"/>
      <c r="O292" s="140"/>
      <c r="P292" s="140"/>
      <c r="Q292" s="253"/>
    </row>
    <row r="293" spans="1:17" s="138" customFormat="1" ht="22.5" hidden="1">
      <c r="A293" s="259"/>
      <c r="B293" s="79" t="s">
        <v>236</v>
      </c>
      <c r="C293" s="34"/>
      <c r="D293" s="261">
        <v>4128</v>
      </c>
      <c r="E293" s="140">
        <f t="shared" si="78"/>
        <v>0</v>
      </c>
      <c r="F293" s="140"/>
      <c r="G293" s="253">
        <f>Q293</f>
        <v>0</v>
      </c>
      <c r="H293" s="140">
        <f t="shared" si="79"/>
        <v>0</v>
      </c>
      <c r="I293" s="140">
        <f t="shared" si="80"/>
        <v>0</v>
      </c>
      <c r="J293" s="140"/>
      <c r="K293" s="140"/>
      <c r="L293" s="140"/>
      <c r="M293" s="140">
        <f t="shared" si="81"/>
        <v>0</v>
      </c>
      <c r="N293" s="140"/>
      <c r="O293" s="140"/>
      <c r="P293" s="140"/>
      <c r="Q293" s="253"/>
    </row>
    <row r="294" spans="1:17" s="138" customFormat="1" ht="22.5" hidden="1">
      <c r="A294" s="259"/>
      <c r="B294" s="79" t="s">
        <v>236</v>
      </c>
      <c r="C294" s="34"/>
      <c r="D294" s="261">
        <v>4129</v>
      </c>
      <c r="E294" s="140">
        <f t="shared" si="78"/>
        <v>0</v>
      </c>
      <c r="F294" s="140">
        <f>L294</f>
        <v>0</v>
      </c>
      <c r="G294" s="253"/>
      <c r="H294" s="140">
        <f t="shared" si="79"/>
        <v>0</v>
      </c>
      <c r="I294" s="140">
        <f t="shared" si="80"/>
        <v>0</v>
      </c>
      <c r="J294" s="140"/>
      <c r="K294" s="140"/>
      <c r="L294" s="140"/>
      <c r="M294" s="140">
        <f t="shared" si="81"/>
        <v>0</v>
      </c>
      <c r="N294" s="140"/>
      <c r="O294" s="140"/>
      <c r="P294" s="140"/>
      <c r="Q294" s="253"/>
    </row>
    <row r="295" spans="1:17" s="138" customFormat="1" ht="33.75" hidden="1">
      <c r="A295" s="259"/>
      <c r="B295" s="79" t="s">
        <v>570</v>
      </c>
      <c r="C295" s="34"/>
      <c r="D295" s="261">
        <v>4018</v>
      </c>
      <c r="E295" s="140">
        <f t="shared" si="78"/>
        <v>0</v>
      </c>
      <c r="F295" s="140"/>
      <c r="G295" s="253">
        <f>M295</f>
        <v>0</v>
      </c>
      <c r="H295" s="140">
        <f t="shared" si="79"/>
        <v>0</v>
      </c>
      <c r="I295" s="140">
        <f t="shared" si="80"/>
        <v>0</v>
      </c>
      <c r="J295" s="140"/>
      <c r="K295" s="140"/>
      <c r="L295" s="140"/>
      <c r="M295" s="140">
        <f t="shared" si="81"/>
        <v>0</v>
      </c>
      <c r="N295" s="140"/>
      <c r="O295" s="140"/>
      <c r="P295" s="140"/>
      <c r="Q295" s="253"/>
    </row>
    <row r="296" spans="1:17" s="138" customFormat="1" ht="33.75" hidden="1">
      <c r="A296" s="259"/>
      <c r="B296" s="79" t="s">
        <v>570</v>
      </c>
      <c r="C296" s="34"/>
      <c r="D296" s="261">
        <v>4019</v>
      </c>
      <c r="E296" s="140">
        <f t="shared" si="78"/>
        <v>0</v>
      </c>
      <c r="F296" s="140">
        <f>I296</f>
        <v>0</v>
      </c>
      <c r="G296" s="253"/>
      <c r="H296" s="140">
        <f t="shared" si="79"/>
        <v>0</v>
      </c>
      <c r="I296" s="140">
        <f t="shared" si="80"/>
        <v>0</v>
      </c>
      <c r="J296" s="140"/>
      <c r="K296" s="140"/>
      <c r="L296" s="140"/>
      <c r="M296" s="140">
        <f t="shared" si="81"/>
        <v>0</v>
      </c>
      <c r="N296" s="140"/>
      <c r="O296" s="140"/>
      <c r="P296" s="140"/>
      <c r="Q296" s="253"/>
    </row>
    <row r="297" spans="1:17" s="138" customFormat="1" ht="22.5" hidden="1">
      <c r="A297" s="259"/>
      <c r="B297" s="79" t="s">
        <v>572</v>
      </c>
      <c r="C297" s="34"/>
      <c r="D297" s="264">
        <v>3118</v>
      </c>
      <c r="E297" s="140">
        <f>F297+G297</f>
        <v>0</v>
      </c>
      <c r="F297" s="140"/>
      <c r="G297" s="253">
        <f>Q297</f>
        <v>0</v>
      </c>
      <c r="H297" s="140">
        <f>I297+M297</f>
        <v>0</v>
      </c>
      <c r="I297" s="140">
        <f>SUM(J297:L297)</f>
        <v>0</v>
      </c>
      <c r="J297" s="140"/>
      <c r="K297" s="140"/>
      <c r="L297" s="140"/>
      <c r="M297" s="140">
        <f>SUM(N297:Q297)</f>
        <v>0</v>
      </c>
      <c r="N297" s="140"/>
      <c r="O297" s="140"/>
      <c r="P297" s="140"/>
      <c r="Q297" s="253"/>
    </row>
    <row r="298" spans="1:17" s="138" customFormat="1" ht="22.5" hidden="1">
      <c r="A298" s="259"/>
      <c r="B298" s="79" t="s">
        <v>572</v>
      </c>
      <c r="C298" s="34"/>
      <c r="D298" s="264">
        <v>3119</v>
      </c>
      <c r="E298" s="140">
        <f>F298+G298</f>
        <v>0</v>
      </c>
      <c r="F298" s="140">
        <f>L298</f>
        <v>0</v>
      </c>
      <c r="G298" s="253"/>
      <c r="H298" s="140">
        <f>I298+M298</f>
        <v>0</v>
      </c>
      <c r="I298" s="140">
        <f>SUM(J298:L298)</f>
        <v>0</v>
      </c>
      <c r="J298" s="140"/>
      <c r="K298" s="140"/>
      <c r="L298" s="140"/>
      <c r="M298" s="140">
        <f>SUM(N298:Q298)</f>
        <v>0</v>
      </c>
      <c r="N298" s="140"/>
      <c r="O298" s="140"/>
      <c r="P298" s="140"/>
      <c r="Q298" s="253"/>
    </row>
    <row r="299" spans="1:17" s="138" customFormat="1" ht="67.5" hidden="1">
      <c r="A299" s="259"/>
      <c r="B299" s="79" t="s">
        <v>575</v>
      </c>
      <c r="C299" s="34"/>
      <c r="D299" s="261">
        <v>4408</v>
      </c>
      <c r="E299" s="140">
        <f aca="true" t="shared" si="82" ref="E299:E306">F299+G299</f>
        <v>0</v>
      </c>
      <c r="F299" s="140"/>
      <c r="G299" s="253">
        <f>M299</f>
        <v>0</v>
      </c>
      <c r="H299" s="140">
        <f aca="true" t="shared" si="83" ref="H299:H306">I299+M299</f>
        <v>0</v>
      </c>
      <c r="I299" s="140">
        <f aca="true" t="shared" si="84" ref="I299:I306">SUM(J299:L299)</f>
        <v>0</v>
      </c>
      <c r="J299" s="140"/>
      <c r="K299" s="140"/>
      <c r="L299" s="140"/>
      <c r="M299" s="140">
        <f aca="true" t="shared" si="85" ref="M299:M306">SUM(N299:Q299)</f>
        <v>0</v>
      </c>
      <c r="N299" s="140"/>
      <c r="O299" s="140"/>
      <c r="P299" s="140"/>
      <c r="Q299" s="253"/>
    </row>
    <row r="300" spans="1:17" s="138" customFormat="1" ht="67.5" hidden="1">
      <c r="A300" s="259"/>
      <c r="B300" s="79" t="s">
        <v>575</v>
      </c>
      <c r="C300" s="34"/>
      <c r="D300" s="261">
        <v>4409</v>
      </c>
      <c r="E300" s="140">
        <f t="shared" si="82"/>
        <v>0</v>
      </c>
      <c r="F300" s="140">
        <f>I300</f>
        <v>0</v>
      </c>
      <c r="G300" s="253"/>
      <c r="H300" s="140">
        <f t="shared" si="83"/>
        <v>0</v>
      </c>
      <c r="I300" s="140">
        <f t="shared" si="84"/>
        <v>0</v>
      </c>
      <c r="J300" s="140"/>
      <c r="K300" s="140"/>
      <c r="L300" s="140"/>
      <c r="M300" s="140">
        <f t="shared" si="85"/>
        <v>0</v>
      </c>
      <c r="N300" s="140"/>
      <c r="O300" s="140"/>
      <c r="P300" s="140"/>
      <c r="Q300" s="253"/>
    </row>
    <row r="301" spans="1:17" s="138" customFormat="1" ht="22.5" hidden="1">
      <c r="A301" s="259"/>
      <c r="B301" s="79" t="s">
        <v>107</v>
      </c>
      <c r="C301" s="34"/>
      <c r="D301" s="261">
        <v>4218</v>
      </c>
      <c r="E301" s="140">
        <f t="shared" si="82"/>
        <v>0</v>
      </c>
      <c r="F301" s="140"/>
      <c r="G301" s="253">
        <f>M301</f>
        <v>0</v>
      </c>
      <c r="H301" s="140">
        <f t="shared" si="83"/>
        <v>0</v>
      </c>
      <c r="I301" s="140">
        <f t="shared" si="84"/>
        <v>0</v>
      </c>
      <c r="J301" s="140"/>
      <c r="K301" s="140"/>
      <c r="L301" s="140"/>
      <c r="M301" s="140">
        <f t="shared" si="85"/>
        <v>0</v>
      </c>
      <c r="N301" s="140"/>
      <c r="O301" s="140"/>
      <c r="P301" s="140"/>
      <c r="Q301" s="253"/>
    </row>
    <row r="302" spans="1:17" s="138" customFormat="1" ht="22.5" hidden="1">
      <c r="A302" s="259"/>
      <c r="B302" s="79" t="s">
        <v>107</v>
      </c>
      <c r="C302" s="34"/>
      <c r="D302" s="261">
        <v>4219</v>
      </c>
      <c r="E302" s="140">
        <f t="shared" si="82"/>
        <v>0</v>
      </c>
      <c r="F302" s="140">
        <f>H302</f>
        <v>0</v>
      </c>
      <c r="G302" s="253"/>
      <c r="H302" s="140">
        <f t="shared" si="83"/>
        <v>0</v>
      </c>
      <c r="I302" s="140">
        <f t="shared" si="84"/>
        <v>0</v>
      </c>
      <c r="J302" s="140"/>
      <c r="K302" s="140"/>
      <c r="L302" s="140"/>
      <c r="M302" s="140">
        <f t="shared" si="85"/>
        <v>0</v>
      </c>
      <c r="N302" s="140"/>
      <c r="O302" s="140"/>
      <c r="P302" s="140"/>
      <c r="Q302" s="253"/>
    </row>
    <row r="303" spans="1:17" s="138" customFormat="1" ht="45" hidden="1">
      <c r="A303" s="259"/>
      <c r="B303" s="393" t="s">
        <v>239</v>
      </c>
      <c r="C303" s="34"/>
      <c r="D303" s="261">
        <v>4758</v>
      </c>
      <c r="E303" s="140">
        <f t="shared" si="82"/>
        <v>0</v>
      </c>
      <c r="F303" s="140"/>
      <c r="G303" s="253">
        <f>M303</f>
        <v>0</v>
      </c>
      <c r="H303" s="140">
        <f t="shared" si="83"/>
        <v>0</v>
      </c>
      <c r="I303" s="140">
        <f t="shared" si="84"/>
        <v>0</v>
      </c>
      <c r="J303" s="140"/>
      <c r="K303" s="140"/>
      <c r="L303" s="140"/>
      <c r="M303" s="140">
        <f t="shared" si="85"/>
        <v>0</v>
      </c>
      <c r="N303" s="140"/>
      <c r="O303" s="140"/>
      <c r="P303" s="140"/>
      <c r="Q303" s="253"/>
    </row>
    <row r="304" spans="1:17" s="138" customFormat="1" ht="45" hidden="1">
      <c r="A304" s="259"/>
      <c r="B304" s="393" t="s">
        <v>239</v>
      </c>
      <c r="C304" s="34"/>
      <c r="D304" s="261">
        <v>4759</v>
      </c>
      <c r="E304" s="140">
        <f t="shared" si="82"/>
        <v>0</v>
      </c>
      <c r="F304" s="140">
        <f>H304</f>
        <v>0</v>
      </c>
      <c r="G304" s="253"/>
      <c r="H304" s="140">
        <f t="shared" si="83"/>
        <v>0</v>
      </c>
      <c r="I304" s="140">
        <f t="shared" si="84"/>
        <v>0</v>
      </c>
      <c r="J304" s="140"/>
      <c r="K304" s="140"/>
      <c r="L304" s="140"/>
      <c r="M304" s="140">
        <f t="shared" si="85"/>
        <v>0</v>
      </c>
      <c r="N304" s="140"/>
      <c r="O304" s="140"/>
      <c r="P304" s="140"/>
      <c r="Q304" s="253"/>
    </row>
    <row r="305" spans="1:17" s="138" customFormat="1" ht="22.5" hidden="1">
      <c r="A305" s="259"/>
      <c r="B305" s="79" t="s">
        <v>90</v>
      </c>
      <c r="C305" s="34"/>
      <c r="D305" s="261">
        <v>4308</v>
      </c>
      <c r="E305" s="140">
        <f t="shared" si="82"/>
        <v>0</v>
      </c>
      <c r="F305" s="140"/>
      <c r="G305" s="253">
        <f>M305</f>
        <v>0</v>
      </c>
      <c r="H305" s="140">
        <f t="shared" si="83"/>
        <v>0</v>
      </c>
      <c r="I305" s="140">
        <f t="shared" si="84"/>
        <v>0</v>
      </c>
      <c r="J305" s="140"/>
      <c r="K305" s="140"/>
      <c r="L305" s="140"/>
      <c r="M305" s="140">
        <f t="shared" si="85"/>
        <v>0</v>
      </c>
      <c r="N305" s="140"/>
      <c r="O305" s="140"/>
      <c r="P305" s="140"/>
      <c r="Q305" s="253"/>
    </row>
    <row r="306" spans="1:17" s="138" customFormat="1" ht="22.5" hidden="1">
      <c r="A306" s="259"/>
      <c r="B306" s="79" t="s">
        <v>90</v>
      </c>
      <c r="C306" s="34"/>
      <c r="D306" s="261">
        <v>4309</v>
      </c>
      <c r="E306" s="140">
        <f t="shared" si="82"/>
        <v>0</v>
      </c>
      <c r="F306" s="140">
        <f>H306</f>
        <v>0</v>
      </c>
      <c r="G306" s="253"/>
      <c r="H306" s="140">
        <f t="shared" si="83"/>
        <v>0</v>
      </c>
      <c r="I306" s="140">
        <f t="shared" si="84"/>
        <v>0</v>
      </c>
      <c r="J306" s="140"/>
      <c r="K306" s="140"/>
      <c r="L306" s="140"/>
      <c r="M306" s="140">
        <f t="shared" si="85"/>
        <v>0</v>
      </c>
      <c r="N306" s="140"/>
      <c r="O306" s="140"/>
      <c r="P306" s="140"/>
      <c r="Q306" s="253"/>
    </row>
    <row r="307" spans="1:17" s="138" customFormat="1" ht="22.5" hidden="1">
      <c r="A307" s="259"/>
      <c r="B307" s="79" t="s">
        <v>573</v>
      </c>
      <c r="C307" s="34"/>
      <c r="D307" s="261">
        <v>4438</v>
      </c>
      <c r="E307" s="140">
        <f>F307+G307</f>
        <v>0</v>
      </c>
      <c r="F307" s="140"/>
      <c r="G307" s="253">
        <f>M307</f>
        <v>0</v>
      </c>
      <c r="H307" s="140">
        <f>I307+M307</f>
        <v>0</v>
      </c>
      <c r="I307" s="140">
        <f>SUM(J307:L307)</f>
        <v>0</v>
      </c>
      <c r="J307" s="140"/>
      <c r="K307" s="140"/>
      <c r="L307" s="140"/>
      <c r="M307" s="140">
        <f>SUM(N307:Q307)</f>
        <v>0</v>
      </c>
      <c r="N307" s="140"/>
      <c r="O307" s="140"/>
      <c r="P307" s="140"/>
      <c r="Q307" s="253"/>
    </row>
    <row r="308" spans="1:17" s="138" customFormat="1" ht="22.5" hidden="1">
      <c r="A308" s="259"/>
      <c r="B308" s="79" t="s">
        <v>573</v>
      </c>
      <c r="C308" s="34"/>
      <c r="D308" s="261">
        <v>4439</v>
      </c>
      <c r="E308" s="140">
        <f>F308+G308</f>
        <v>0</v>
      </c>
      <c r="F308" s="140">
        <f>H308</f>
        <v>0</v>
      </c>
      <c r="G308" s="253"/>
      <c r="H308" s="140">
        <f>I308+M308</f>
        <v>0</v>
      </c>
      <c r="I308" s="140">
        <f>SUM(J308:L308)</f>
        <v>0</v>
      </c>
      <c r="J308" s="140"/>
      <c r="K308" s="140"/>
      <c r="L308" s="140"/>
      <c r="M308" s="140">
        <f>SUM(N308:Q308)</f>
        <v>0</v>
      </c>
      <c r="N308" s="140"/>
      <c r="O308" s="140"/>
      <c r="P308" s="140"/>
      <c r="Q308" s="253"/>
    </row>
    <row r="309" spans="1:17" s="138" customFormat="1" ht="67.5" hidden="1">
      <c r="A309" s="259"/>
      <c r="B309" s="398" t="s">
        <v>199</v>
      </c>
      <c r="C309" s="34"/>
      <c r="D309" s="261">
        <v>4748</v>
      </c>
      <c r="E309" s="140">
        <f>F309+G309</f>
        <v>0</v>
      </c>
      <c r="F309" s="140"/>
      <c r="G309" s="253">
        <f>M309</f>
        <v>0</v>
      </c>
      <c r="H309" s="140">
        <f>I309+M309</f>
        <v>0</v>
      </c>
      <c r="I309" s="140">
        <f>SUM(J309:L309)</f>
        <v>0</v>
      </c>
      <c r="J309" s="140"/>
      <c r="K309" s="140"/>
      <c r="L309" s="140"/>
      <c r="M309" s="140">
        <f>SUM(N309:Q309)</f>
        <v>0</v>
      </c>
      <c r="N309" s="140"/>
      <c r="O309" s="140"/>
      <c r="P309" s="140"/>
      <c r="Q309" s="253"/>
    </row>
    <row r="310" spans="1:17" s="138" customFormat="1" ht="67.5" hidden="1">
      <c r="A310" s="259"/>
      <c r="B310" s="398" t="s">
        <v>199</v>
      </c>
      <c r="C310" s="34"/>
      <c r="D310" s="261">
        <v>4749</v>
      </c>
      <c r="E310" s="140">
        <f>F310+G310</f>
        <v>0</v>
      </c>
      <c r="F310" s="140">
        <f>H310</f>
        <v>0</v>
      </c>
      <c r="G310" s="253"/>
      <c r="H310" s="140">
        <f>I310+M310</f>
        <v>0</v>
      </c>
      <c r="I310" s="140">
        <f>SUM(J310:L310)</f>
        <v>0</v>
      </c>
      <c r="J310" s="140"/>
      <c r="K310" s="140"/>
      <c r="L310" s="140"/>
      <c r="M310" s="140">
        <f>SUM(N310:Q310)</f>
        <v>0</v>
      </c>
      <c r="N310" s="140"/>
      <c r="O310" s="140"/>
      <c r="P310" s="140"/>
      <c r="Q310" s="253"/>
    </row>
    <row r="311" spans="1:19" s="138" customFormat="1" ht="11.25" hidden="1">
      <c r="A311" s="259"/>
      <c r="B311" s="134">
        <v>2009</v>
      </c>
      <c r="C311" s="136"/>
      <c r="D311" s="136"/>
      <c r="E311" s="135">
        <f>F311+G311</f>
        <v>0</v>
      </c>
      <c r="F311" s="135">
        <f>SUM(F291:F310)</f>
        <v>0</v>
      </c>
      <c r="G311" s="135">
        <f>SUM(G291:G310)</f>
        <v>0</v>
      </c>
      <c r="H311" s="135">
        <f>I311+M311</f>
        <v>0</v>
      </c>
      <c r="I311" s="135">
        <f>SUM(I291:I310)</f>
        <v>0</v>
      </c>
      <c r="J311" s="135">
        <f>SUM(J291:J310)</f>
        <v>0</v>
      </c>
      <c r="K311" s="135">
        <f>SUM(K291:K310)</f>
        <v>0</v>
      </c>
      <c r="L311" s="135">
        <f>SUM(L291:L310)</f>
        <v>0</v>
      </c>
      <c r="M311" s="135">
        <f>N311+O311+P311+Q311</f>
        <v>0</v>
      </c>
      <c r="N311" s="135">
        <f>SUM(N291:N310)</f>
        <v>0</v>
      </c>
      <c r="O311" s="135">
        <f>SUM(O291:O310)</f>
        <v>0</v>
      </c>
      <c r="P311" s="135">
        <f>SUM(P291:P310)</f>
        <v>0</v>
      </c>
      <c r="Q311" s="135">
        <f>SUM(Q291:Q310)</f>
        <v>0</v>
      </c>
      <c r="S311" s="392"/>
    </row>
    <row r="312" spans="1:19" s="138" customFormat="1" ht="11.25" hidden="1">
      <c r="A312" s="266"/>
      <c r="B312" s="475"/>
      <c r="C312" s="476"/>
      <c r="D312" s="477"/>
      <c r="E312" s="478"/>
      <c r="F312" s="478"/>
      <c r="G312" s="478"/>
      <c r="H312" s="478"/>
      <c r="I312" s="478"/>
      <c r="J312" s="478"/>
      <c r="K312" s="478"/>
      <c r="L312" s="478"/>
      <c r="M312" s="478"/>
      <c r="N312" s="478"/>
      <c r="O312" s="478"/>
      <c r="P312" s="478"/>
      <c r="Q312" s="479"/>
      <c r="S312" s="392"/>
    </row>
    <row r="313" spans="1:19" s="138" customFormat="1" ht="11.25" hidden="1">
      <c r="A313" s="266"/>
      <c r="B313" s="475"/>
      <c r="C313" s="476"/>
      <c r="D313" s="477"/>
      <c r="E313" s="478"/>
      <c r="F313" s="478"/>
      <c r="G313" s="478"/>
      <c r="H313" s="478"/>
      <c r="I313" s="478"/>
      <c r="J313" s="478"/>
      <c r="K313" s="478"/>
      <c r="L313" s="478"/>
      <c r="M313" s="478"/>
      <c r="N313" s="478"/>
      <c r="O313" s="478"/>
      <c r="P313" s="478"/>
      <c r="Q313" s="479"/>
      <c r="S313" s="392"/>
    </row>
    <row r="314" spans="1:19" s="138" customFormat="1" ht="11.25" hidden="1">
      <c r="A314" s="266"/>
      <c r="B314" s="475"/>
      <c r="C314" s="476"/>
      <c r="D314" s="477"/>
      <c r="E314" s="478"/>
      <c r="F314" s="478"/>
      <c r="G314" s="478"/>
      <c r="H314" s="478"/>
      <c r="I314" s="478"/>
      <c r="J314" s="478"/>
      <c r="K314" s="478"/>
      <c r="L314" s="478"/>
      <c r="M314" s="478"/>
      <c r="N314" s="478"/>
      <c r="O314" s="478"/>
      <c r="P314" s="478"/>
      <c r="Q314" s="479"/>
      <c r="S314" s="392"/>
    </row>
    <row r="315" spans="1:19" s="138" customFormat="1" ht="11.25" hidden="1">
      <c r="A315" s="266"/>
      <c r="B315" s="475"/>
      <c r="C315" s="476"/>
      <c r="D315" s="477"/>
      <c r="E315" s="478"/>
      <c r="F315" s="478"/>
      <c r="G315" s="478"/>
      <c r="H315" s="478"/>
      <c r="I315" s="478"/>
      <c r="J315" s="478"/>
      <c r="K315" s="478"/>
      <c r="L315" s="478"/>
      <c r="M315" s="478"/>
      <c r="N315" s="478"/>
      <c r="O315" s="478"/>
      <c r="P315" s="478"/>
      <c r="Q315" s="479"/>
      <c r="S315" s="392"/>
    </row>
    <row r="316" spans="1:19" s="138" customFormat="1" ht="11.25" hidden="1">
      <c r="A316" s="266"/>
      <c r="B316" s="475"/>
      <c r="C316" s="476"/>
      <c r="D316" s="477"/>
      <c r="E316" s="478"/>
      <c r="F316" s="478"/>
      <c r="G316" s="478"/>
      <c r="H316" s="478"/>
      <c r="I316" s="478"/>
      <c r="J316" s="478"/>
      <c r="K316" s="478"/>
      <c r="L316" s="478"/>
      <c r="M316" s="478"/>
      <c r="N316" s="478"/>
      <c r="O316" s="478"/>
      <c r="P316" s="478"/>
      <c r="Q316" s="479"/>
      <c r="S316" s="392"/>
    </row>
    <row r="317" spans="1:19" s="138" customFormat="1" ht="11.25" hidden="1">
      <c r="A317" s="266"/>
      <c r="B317" s="475"/>
      <c r="C317" s="476"/>
      <c r="D317" s="477"/>
      <c r="E317" s="478"/>
      <c r="F317" s="478"/>
      <c r="G317" s="478"/>
      <c r="H317" s="478"/>
      <c r="I317" s="478"/>
      <c r="J317" s="478"/>
      <c r="K317" s="478"/>
      <c r="L317" s="478"/>
      <c r="M317" s="478"/>
      <c r="N317" s="478"/>
      <c r="O317" s="478"/>
      <c r="P317" s="478"/>
      <c r="Q317" s="479"/>
      <c r="S317" s="392"/>
    </row>
    <row r="318" spans="1:17" ht="15.75" customHeight="1">
      <c r="A318" s="773" t="s">
        <v>478</v>
      </c>
      <c r="B318" s="277" t="s">
        <v>749</v>
      </c>
      <c r="C318" s="775" t="s">
        <v>568</v>
      </c>
      <c r="D318" s="776"/>
      <c r="E318" s="776"/>
      <c r="F318" s="776"/>
      <c r="G318" s="776"/>
      <c r="H318" s="776"/>
      <c r="I318" s="776"/>
      <c r="J318" s="776"/>
      <c r="K318" s="776"/>
      <c r="L318" s="776"/>
      <c r="M318" s="776"/>
      <c r="N318" s="776"/>
      <c r="O318" s="776"/>
      <c r="P318" s="776"/>
      <c r="Q318" s="777"/>
    </row>
    <row r="319" spans="1:17" ht="12.75" customHeight="1">
      <c r="A319" s="774"/>
      <c r="B319" s="275" t="s">
        <v>750</v>
      </c>
      <c r="C319" s="775"/>
      <c r="D319" s="776"/>
      <c r="E319" s="776"/>
      <c r="F319" s="776"/>
      <c r="G319" s="776"/>
      <c r="H319" s="776"/>
      <c r="I319" s="776"/>
      <c r="J319" s="776"/>
      <c r="K319" s="776"/>
      <c r="L319" s="776"/>
      <c r="M319" s="776"/>
      <c r="N319" s="776"/>
      <c r="O319" s="776"/>
      <c r="P319" s="776"/>
      <c r="Q319" s="777"/>
    </row>
    <row r="320" spans="1:17" ht="12.75" customHeight="1">
      <c r="A320" s="774"/>
      <c r="B320" s="275" t="s">
        <v>751</v>
      </c>
      <c r="C320" s="775"/>
      <c r="D320" s="776"/>
      <c r="E320" s="776"/>
      <c r="F320" s="776"/>
      <c r="G320" s="776"/>
      <c r="H320" s="776"/>
      <c r="I320" s="776"/>
      <c r="J320" s="776"/>
      <c r="K320" s="776"/>
      <c r="L320" s="776"/>
      <c r="M320" s="776"/>
      <c r="N320" s="776"/>
      <c r="O320" s="776"/>
      <c r="P320" s="776"/>
      <c r="Q320" s="777"/>
    </row>
    <row r="321" spans="1:17" ht="12.75" customHeight="1">
      <c r="A321" s="774"/>
      <c r="B321" s="276" t="s">
        <v>752</v>
      </c>
      <c r="C321" s="778"/>
      <c r="D321" s="779"/>
      <c r="E321" s="779"/>
      <c r="F321" s="779"/>
      <c r="G321" s="779"/>
      <c r="H321" s="779"/>
      <c r="I321" s="779"/>
      <c r="J321" s="779"/>
      <c r="K321" s="779"/>
      <c r="L321" s="779"/>
      <c r="M321" s="779"/>
      <c r="N321" s="779"/>
      <c r="O321" s="779"/>
      <c r="P321" s="779"/>
      <c r="Q321" s="780"/>
    </row>
    <row r="322" spans="1:17" s="139" customFormat="1" ht="12.75">
      <c r="A322" s="774"/>
      <c r="B322" s="278" t="s">
        <v>753</v>
      </c>
      <c r="C322" s="34"/>
      <c r="D322" s="141" t="s">
        <v>133</v>
      </c>
      <c r="E322" s="140">
        <f>E338+E331</f>
        <v>9720</v>
      </c>
      <c r="F322" s="140">
        <f aca="true" t="shared" si="86" ref="F322:Q322">F338+F331</f>
        <v>9720</v>
      </c>
      <c r="G322" s="140">
        <f t="shared" si="86"/>
        <v>0</v>
      </c>
      <c r="H322" s="140">
        <f t="shared" si="86"/>
        <v>9720</v>
      </c>
      <c r="I322" s="140">
        <f t="shared" si="86"/>
        <v>9720</v>
      </c>
      <c r="J322" s="140">
        <f t="shared" si="86"/>
        <v>0</v>
      </c>
      <c r="K322" s="140">
        <f t="shared" si="86"/>
        <v>0</v>
      </c>
      <c r="L322" s="140">
        <f t="shared" si="86"/>
        <v>9720</v>
      </c>
      <c r="M322" s="140">
        <f t="shared" si="86"/>
        <v>0</v>
      </c>
      <c r="N322" s="140">
        <f t="shared" si="86"/>
        <v>0</v>
      </c>
      <c r="O322" s="140">
        <f t="shared" si="86"/>
        <v>0</v>
      </c>
      <c r="P322" s="140">
        <f t="shared" si="86"/>
        <v>0</v>
      </c>
      <c r="Q322" s="117">
        <f t="shared" si="86"/>
        <v>0</v>
      </c>
    </row>
    <row r="323" spans="1:17" s="139" customFormat="1" ht="22.5" hidden="1">
      <c r="A323" s="774"/>
      <c r="B323" s="134" t="s">
        <v>622</v>
      </c>
      <c r="C323" s="34"/>
      <c r="D323" s="141" t="s">
        <v>630</v>
      </c>
      <c r="E323" s="140"/>
      <c r="F323" s="140"/>
      <c r="G323" s="140"/>
      <c r="H323" s="140"/>
      <c r="I323" s="140"/>
      <c r="J323" s="140"/>
      <c r="K323" s="140"/>
      <c r="L323" s="140"/>
      <c r="M323" s="140"/>
      <c r="N323" s="140"/>
      <c r="O323" s="140"/>
      <c r="P323" s="140"/>
      <c r="Q323" s="117" t="e">
        <f>'[1]2'!G803</f>
        <v>#REF!</v>
      </c>
    </row>
    <row r="324" spans="1:17" s="139" customFormat="1" ht="33.75" hidden="1">
      <c r="A324" s="774"/>
      <c r="B324" s="134" t="s">
        <v>623</v>
      </c>
      <c r="C324" s="34"/>
      <c r="D324" s="141" t="s">
        <v>631</v>
      </c>
      <c r="E324" s="140"/>
      <c r="F324" s="140"/>
      <c r="G324" s="140"/>
      <c r="H324" s="140"/>
      <c r="I324" s="140"/>
      <c r="J324" s="140"/>
      <c r="K324" s="140"/>
      <c r="L324" s="140"/>
      <c r="M324" s="140"/>
      <c r="N324" s="140"/>
      <c r="O324" s="140"/>
      <c r="P324" s="140"/>
      <c r="Q324" s="117"/>
    </row>
    <row r="325" spans="1:17" s="139" customFormat="1" ht="22.5" hidden="1">
      <c r="A325" s="774"/>
      <c r="B325" s="134" t="s">
        <v>624</v>
      </c>
      <c r="C325" s="34"/>
      <c r="D325" s="141" t="s">
        <v>632</v>
      </c>
      <c r="E325" s="140"/>
      <c r="F325" s="140"/>
      <c r="G325" s="140"/>
      <c r="H325" s="140"/>
      <c r="I325" s="140"/>
      <c r="J325" s="140"/>
      <c r="K325" s="140"/>
      <c r="L325" s="140"/>
      <c r="M325" s="140"/>
      <c r="N325" s="140"/>
      <c r="O325" s="140"/>
      <c r="P325" s="140"/>
      <c r="Q325" s="117"/>
    </row>
    <row r="326" spans="1:17" s="139" customFormat="1" ht="45" hidden="1">
      <c r="A326" s="774"/>
      <c r="B326" s="134" t="s">
        <v>625</v>
      </c>
      <c r="C326" s="34"/>
      <c r="D326" s="141" t="s">
        <v>633</v>
      </c>
      <c r="E326" s="140"/>
      <c r="F326" s="140"/>
      <c r="G326" s="140"/>
      <c r="H326" s="140"/>
      <c r="I326" s="140"/>
      <c r="J326" s="140"/>
      <c r="K326" s="140"/>
      <c r="L326" s="140"/>
      <c r="M326" s="140"/>
      <c r="N326" s="140"/>
      <c r="O326" s="140"/>
      <c r="P326" s="140"/>
      <c r="Q326" s="117"/>
    </row>
    <row r="327" spans="1:17" s="139" customFormat="1" ht="22.5" hidden="1">
      <c r="A327" s="774"/>
      <c r="B327" s="134" t="s">
        <v>428</v>
      </c>
      <c r="C327" s="34"/>
      <c r="D327" s="141" t="s">
        <v>427</v>
      </c>
      <c r="E327" s="140"/>
      <c r="F327" s="140"/>
      <c r="G327" s="140"/>
      <c r="H327" s="140"/>
      <c r="I327" s="140"/>
      <c r="J327" s="140"/>
      <c r="K327" s="140"/>
      <c r="L327" s="140"/>
      <c r="M327" s="140"/>
      <c r="N327" s="140"/>
      <c r="O327" s="140"/>
      <c r="P327" s="140"/>
      <c r="Q327" s="117"/>
    </row>
    <row r="328" spans="1:17" s="139" customFormat="1" ht="56.25" hidden="1">
      <c r="A328" s="774"/>
      <c r="B328" s="134" t="s">
        <v>626</v>
      </c>
      <c r="C328" s="34"/>
      <c r="D328" s="141" t="s">
        <v>634</v>
      </c>
      <c r="E328" s="140"/>
      <c r="F328" s="140"/>
      <c r="G328" s="140"/>
      <c r="H328" s="140"/>
      <c r="I328" s="140"/>
      <c r="J328" s="140"/>
      <c r="K328" s="140"/>
      <c r="L328" s="140"/>
      <c r="M328" s="140"/>
      <c r="N328" s="140"/>
      <c r="O328" s="140"/>
      <c r="P328" s="140"/>
      <c r="Q328" s="117" t="e">
        <f>'[1]2'!L830</f>
        <v>#REF!</v>
      </c>
    </row>
    <row r="329" spans="1:17" s="139" customFormat="1" ht="12.75" hidden="1">
      <c r="A329" s="774"/>
      <c r="B329" s="278"/>
      <c r="C329" s="34"/>
      <c r="D329" s="141"/>
      <c r="E329" s="140"/>
      <c r="F329" s="137"/>
      <c r="G329" s="137"/>
      <c r="H329" s="133"/>
      <c r="I329" s="34"/>
      <c r="J329" s="137"/>
      <c r="K329" s="137"/>
      <c r="L329" s="137"/>
      <c r="M329" s="34"/>
      <c r="N329" s="137"/>
      <c r="O329" s="137"/>
      <c r="P329" s="137"/>
      <c r="Q329" s="137"/>
    </row>
    <row r="330" spans="1:17" s="138" customFormat="1" ht="12.75">
      <c r="A330" s="774"/>
      <c r="B330" s="134"/>
      <c r="C330" s="136"/>
      <c r="D330" s="136"/>
      <c r="E330" s="135"/>
      <c r="F330" s="135"/>
      <c r="G330" s="135"/>
      <c r="H330" s="135">
        <f>I330+M330</f>
        <v>0</v>
      </c>
      <c r="I330" s="135">
        <f>J330+K330+L330</f>
        <v>0</v>
      </c>
      <c r="J330" s="135"/>
      <c r="K330" s="135"/>
      <c r="L330" s="135"/>
      <c r="M330" s="140"/>
      <c r="N330" s="135"/>
      <c r="O330" s="135"/>
      <c r="P330" s="135"/>
      <c r="Q330" s="135"/>
    </row>
    <row r="331" spans="1:17" s="138" customFormat="1" ht="12.75">
      <c r="A331" s="774"/>
      <c r="B331" s="134">
        <v>2010</v>
      </c>
      <c r="C331" s="136"/>
      <c r="D331" s="136"/>
      <c r="E331" s="135">
        <f aca="true" t="shared" si="87" ref="E331:E338">F331+G331</f>
        <v>9720</v>
      </c>
      <c r="F331" s="135">
        <f>H331</f>
        <v>9720</v>
      </c>
      <c r="G331" s="140">
        <f aca="true" t="shared" si="88" ref="G331:L331">SUM(G332:G337)</f>
        <v>0</v>
      </c>
      <c r="H331" s="140">
        <f t="shared" si="88"/>
        <v>9720</v>
      </c>
      <c r="I331" s="140">
        <f t="shared" si="88"/>
        <v>9720</v>
      </c>
      <c r="J331" s="140">
        <f t="shared" si="88"/>
        <v>0</v>
      </c>
      <c r="K331" s="140">
        <f t="shared" si="88"/>
        <v>0</v>
      </c>
      <c r="L331" s="140">
        <f t="shared" si="88"/>
        <v>9720</v>
      </c>
      <c r="M331" s="140">
        <f>SUM(M332:M337)</f>
        <v>0</v>
      </c>
      <c r="N331" s="140">
        <f>SUM(N332:N337)</f>
        <v>0</v>
      </c>
      <c r="O331" s="140">
        <f>SUM(O332:O337)</f>
        <v>0</v>
      </c>
      <c r="P331" s="140">
        <f>SUM(P332:P337)</f>
        <v>0</v>
      </c>
      <c r="Q331" s="117"/>
    </row>
    <row r="332" spans="1:17" s="139" customFormat="1" ht="33.75">
      <c r="A332" s="774"/>
      <c r="B332" s="134" t="s">
        <v>463</v>
      </c>
      <c r="C332" s="34"/>
      <c r="D332" s="141">
        <v>4048</v>
      </c>
      <c r="E332" s="135">
        <f t="shared" si="87"/>
        <v>0</v>
      </c>
      <c r="F332" s="140"/>
      <c r="G332" s="140">
        <f aca="true" t="shared" si="89" ref="G332:G338">M332</f>
        <v>0</v>
      </c>
      <c r="H332" s="135">
        <f>I332+M332</f>
        <v>8270</v>
      </c>
      <c r="I332" s="135">
        <f>J332+K332+L332</f>
        <v>8270</v>
      </c>
      <c r="J332" s="140"/>
      <c r="K332" s="140"/>
      <c r="L332" s="140">
        <v>8270</v>
      </c>
      <c r="M332" s="140">
        <f aca="true" t="shared" si="90" ref="M332:M338">SUM(N332:Q332)</f>
        <v>0</v>
      </c>
      <c r="N332" s="140"/>
      <c r="O332" s="140"/>
      <c r="P332" s="140"/>
      <c r="Q332" s="117"/>
    </row>
    <row r="333" spans="1:17" s="139" customFormat="1" ht="22.5">
      <c r="A333" s="774"/>
      <c r="B333" s="134" t="s">
        <v>574</v>
      </c>
      <c r="C333" s="34"/>
      <c r="D333" s="141"/>
      <c r="E333" s="135">
        <f t="shared" si="87"/>
        <v>0</v>
      </c>
      <c r="F333" s="140"/>
      <c r="G333" s="140">
        <f t="shared" si="89"/>
        <v>0</v>
      </c>
      <c r="H333" s="135"/>
      <c r="I333" s="135"/>
      <c r="J333" s="140"/>
      <c r="K333" s="140"/>
      <c r="L333" s="140"/>
      <c r="M333" s="140">
        <f t="shared" si="90"/>
        <v>0</v>
      </c>
      <c r="N333" s="140"/>
      <c r="O333" s="140"/>
      <c r="P333" s="140"/>
      <c r="Q333" s="117"/>
    </row>
    <row r="334" spans="1:17" s="139" customFormat="1" ht="33.75">
      <c r="A334" s="774"/>
      <c r="B334" s="134" t="s">
        <v>623</v>
      </c>
      <c r="C334" s="34"/>
      <c r="D334" s="141">
        <v>4118</v>
      </c>
      <c r="E334" s="135">
        <f t="shared" si="87"/>
        <v>1250</v>
      </c>
      <c r="F334" s="140">
        <f>L334</f>
        <v>1250</v>
      </c>
      <c r="G334" s="140">
        <f t="shared" si="89"/>
        <v>0</v>
      </c>
      <c r="H334" s="135">
        <f>I334+M334</f>
        <v>1250</v>
      </c>
      <c r="I334" s="135">
        <f>J334+K334+L334</f>
        <v>1250</v>
      </c>
      <c r="J334" s="140"/>
      <c r="K334" s="140"/>
      <c r="L334" s="140">
        <v>1250</v>
      </c>
      <c r="M334" s="140">
        <f t="shared" si="90"/>
        <v>0</v>
      </c>
      <c r="N334" s="140"/>
      <c r="O334" s="140"/>
      <c r="P334" s="140"/>
      <c r="Q334" s="117"/>
    </row>
    <row r="335" spans="1:17" s="139" customFormat="1" ht="22.5">
      <c r="A335" s="774"/>
      <c r="B335" s="134" t="s">
        <v>624</v>
      </c>
      <c r="C335" s="34"/>
      <c r="D335" s="141">
        <v>4128</v>
      </c>
      <c r="E335" s="135">
        <f t="shared" si="87"/>
        <v>200</v>
      </c>
      <c r="F335" s="140">
        <f>L335</f>
        <v>200</v>
      </c>
      <c r="G335" s="140">
        <f t="shared" si="89"/>
        <v>0</v>
      </c>
      <c r="H335" s="135">
        <f>I335+M335</f>
        <v>200</v>
      </c>
      <c r="I335" s="135">
        <f>J335+K335+L335</f>
        <v>200</v>
      </c>
      <c r="J335" s="140"/>
      <c r="K335" s="140"/>
      <c r="L335" s="140">
        <v>200</v>
      </c>
      <c r="M335" s="140">
        <f t="shared" si="90"/>
        <v>0</v>
      </c>
      <c r="N335" s="140"/>
      <c r="O335" s="140"/>
      <c r="P335" s="140"/>
      <c r="Q335" s="117"/>
    </row>
    <row r="336" spans="1:17" s="139" customFormat="1" ht="12.75">
      <c r="A336" s="774"/>
      <c r="B336" s="134" t="s">
        <v>576</v>
      </c>
      <c r="C336" s="34"/>
      <c r="D336" s="141"/>
      <c r="E336" s="135">
        <f>F336+G336</f>
        <v>0</v>
      </c>
      <c r="F336" s="140">
        <f>H336</f>
        <v>0</v>
      </c>
      <c r="G336" s="140">
        <f>M336</f>
        <v>0</v>
      </c>
      <c r="H336" s="135">
        <f>I336+M336</f>
        <v>0</v>
      </c>
      <c r="I336" s="135">
        <f>J336+K336+L336</f>
        <v>0</v>
      </c>
      <c r="J336" s="140"/>
      <c r="K336" s="140"/>
      <c r="L336" s="140"/>
      <c r="M336" s="140"/>
      <c r="N336" s="140"/>
      <c r="O336" s="140"/>
      <c r="P336" s="140"/>
      <c r="Q336" s="117"/>
    </row>
    <row r="337" spans="1:17" s="139" customFormat="1" ht="22.5">
      <c r="A337" s="774"/>
      <c r="B337" s="134" t="s">
        <v>468</v>
      </c>
      <c r="C337" s="34"/>
      <c r="D337" s="141">
        <v>4308</v>
      </c>
      <c r="E337" s="135">
        <f t="shared" si="87"/>
        <v>0</v>
      </c>
      <c r="F337" s="140"/>
      <c r="G337" s="140">
        <f t="shared" si="89"/>
        <v>0</v>
      </c>
      <c r="H337" s="135"/>
      <c r="I337" s="135">
        <f>J337+K337+L337</f>
        <v>0</v>
      </c>
      <c r="J337" s="140"/>
      <c r="K337" s="140"/>
      <c r="L337" s="140"/>
      <c r="M337" s="140">
        <f t="shared" si="90"/>
        <v>0</v>
      </c>
      <c r="N337" s="140"/>
      <c r="O337" s="140"/>
      <c r="P337" s="140"/>
      <c r="Q337" s="117"/>
    </row>
    <row r="338" spans="1:19" s="138" customFormat="1" ht="11.25">
      <c r="A338" s="266"/>
      <c r="B338" s="134">
        <v>2009</v>
      </c>
      <c r="C338" s="136"/>
      <c r="D338" s="136"/>
      <c r="E338" s="135">
        <f t="shared" si="87"/>
        <v>0</v>
      </c>
      <c r="F338" s="135"/>
      <c r="G338" s="135">
        <f t="shared" si="89"/>
        <v>0</v>
      </c>
      <c r="H338" s="135"/>
      <c r="I338" s="135"/>
      <c r="J338" s="135"/>
      <c r="K338" s="135"/>
      <c r="L338" s="135"/>
      <c r="M338" s="135">
        <f t="shared" si="90"/>
        <v>0</v>
      </c>
      <c r="N338" s="135"/>
      <c r="O338" s="135"/>
      <c r="P338" s="135"/>
      <c r="Q338" s="135"/>
      <c r="S338" s="392"/>
    </row>
    <row r="339" spans="1:17" s="138" customFormat="1" ht="11.25" customHeight="1" hidden="1">
      <c r="A339" s="266" t="s">
        <v>192</v>
      </c>
      <c r="B339" s="277" t="s">
        <v>749</v>
      </c>
      <c r="C339" s="787" t="s">
        <v>495</v>
      </c>
      <c r="D339" s="788"/>
      <c r="E339" s="788"/>
      <c r="F339" s="788"/>
      <c r="G339" s="788"/>
      <c r="H339" s="788"/>
      <c r="I339" s="788"/>
      <c r="J339" s="788"/>
      <c r="K339" s="788"/>
      <c r="L339" s="788"/>
      <c r="M339" s="788"/>
      <c r="N339" s="788"/>
      <c r="O339" s="788"/>
      <c r="P339" s="788"/>
      <c r="Q339" s="789"/>
    </row>
    <row r="340" spans="1:17" s="138" customFormat="1" ht="11.25" customHeight="1" hidden="1">
      <c r="A340" s="266"/>
      <c r="B340" s="275" t="s">
        <v>750</v>
      </c>
      <c r="C340" s="790"/>
      <c r="D340" s="791"/>
      <c r="E340" s="791"/>
      <c r="F340" s="791"/>
      <c r="G340" s="791"/>
      <c r="H340" s="791"/>
      <c r="I340" s="791"/>
      <c r="J340" s="791"/>
      <c r="K340" s="791"/>
      <c r="L340" s="791"/>
      <c r="M340" s="791"/>
      <c r="N340" s="791"/>
      <c r="O340" s="791"/>
      <c r="P340" s="791"/>
      <c r="Q340" s="792"/>
    </row>
    <row r="341" spans="1:17" s="138" customFormat="1" ht="11.25" customHeight="1" hidden="1">
      <c r="A341" s="266"/>
      <c r="B341" s="275" t="s">
        <v>751</v>
      </c>
      <c r="C341" s="790"/>
      <c r="D341" s="791"/>
      <c r="E341" s="791"/>
      <c r="F341" s="791"/>
      <c r="G341" s="791"/>
      <c r="H341" s="791"/>
      <c r="I341" s="791"/>
      <c r="J341" s="791"/>
      <c r="K341" s="791"/>
      <c r="L341" s="791"/>
      <c r="M341" s="791"/>
      <c r="N341" s="791"/>
      <c r="O341" s="791"/>
      <c r="P341" s="791"/>
      <c r="Q341" s="792"/>
    </row>
    <row r="342" spans="1:17" s="138" customFormat="1" ht="11.25" customHeight="1" hidden="1">
      <c r="A342" s="266"/>
      <c r="B342" s="276" t="s">
        <v>752</v>
      </c>
      <c r="C342" s="793"/>
      <c r="D342" s="794"/>
      <c r="E342" s="794"/>
      <c r="F342" s="794"/>
      <c r="G342" s="794"/>
      <c r="H342" s="794"/>
      <c r="I342" s="794"/>
      <c r="J342" s="794"/>
      <c r="K342" s="794"/>
      <c r="L342" s="794"/>
      <c r="M342" s="794"/>
      <c r="N342" s="794"/>
      <c r="O342" s="794"/>
      <c r="P342" s="794"/>
      <c r="Q342" s="795"/>
    </row>
    <row r="343" spans="1:17" s="138" customFormat="1" ht="12.75" hidden="1">
      <c r="A343" s="266"/>
      <c r="B343" s="278" t="s">
        <v>753</v>
      </c>
      <c r="C343" s="34"/>
      <c r="D343" s="141" t="s">
        <v>501</v>
      </c>
      <c r="E343" s="117">
        <f>SUM(E344:E348)</f>
        <v>0</v>
      </c>
      <c r="F343" s="117">
        <f>SUM(F344:F348)</f>
        <v>0</v>
      </c>
      <c r="G343" s="117">
        <f>SUM(G344:G348)</f>
        <v>0</v>
      </c>
      <c r="H343" s="117">
        <f>SUM(H344:H348)</f>
        <v>0</v>
      </c>
      <c r="I343" s="117">
        <f>SUM(I344:I347)</f>
        <v>0</v>
      </c>
      <c r="J343" s="117">
        <f>SUM(J344:J347)</f>
        <v>0</v>
      </c>
      <c r="K343" s="117">
        <f>SUM(K344:K347)</f>
        <v>0</v>
      </c>
      <c r="L343" s="117">
        <f>SUM(L344:L347)</f>
        <v>0</v>
      </c>
      <c r="M343" s="117">
        <f>SUM(M344:M347)</f>
        <v>0</v>
      </c>
      <c r="N343" s="117">
        <f>N344+N346</f>
        <v>0</v>
      </c>
      <c r="O343" s="117">
        <f>O344+O346</f>
        <v>0</v>
      </c>
      <c r="P343" s="117">
        <f>P344+P346</f>
        <v>0</v>
      </c>
      <c r="Q343" s="117">
        <f>SUM(Q344:Q347)</f>
        <v>0</v>
      </c>
    </row>
    <row r="344" spans="1:17" s="138" customFormat="1" ht="22.5" hidden="1">
      <c r="A344" s="266"/>
      <c r="B344" s="79" t="s">
        <v>107</v>
      </c>
      <c r="C344" s="34"/>
      <c r="D344" s="261">
        <v>4218</v>
      </c>
      <c r="E344" s="140">
        <f>F344+G344</f>
        <v>0</v>
      </c>
      <c r="F344" s="140"/>
      <c r="G344" s="253">
        <f>Q344</f>
        <v>0</v>
      </c>
      <c r="H344" s="140">
        <f>I344+M344</f>
        <v>0</v>
      </c>
      <c r="I344" s="140">
        <f>SUM(J344:L344)</f>
        <v>0</v>
      </c>
      <c r="J344" s="140"/>
      <c r="K344" s="140"/>
      <c r="L344" s="140"/>
      <c r="M344" s="140">
        <f>SUM(N344:Q344)</f>
        <v>0</v>
      </c>
      <c r="N344" s="140"/>
      <c r="O344" s="140"/>
      <c r="P344" s="140"/>
      <c r="Q344" s="253"/>
    </row>
    <row r="345" spans="1:17" s="138" customFormat="1" ht="22.5" hidden="1">
      <c r="A345" s="266"/>
      <c r="B345" s="79" t="s">
        <v>107</v>
      </c>
      <c r="C345" s="34"/>
      <c r="D345" s="261">
        <v>4219</v>
      </c>
      <c r="E345" s="140">
        <f>F345+G345</f>
        <v>0</v>
      </c>
      <c r="F345" s="140">
        <f>L345</f>
        <v>0</v>
      </c>
      <c r="G345" s="253"/>
      <c r="H345" s="140">
        <f>I345+M345</f>
        <v>0</v>
      </c>
      <c r="I345" s="140">
        <f>SUM(J345:L345)</f>
        <v>0</v>
      </c>
      <c r="J345" s="140"/>
      <c r="K345" s="140"/>
      <c r="L345" s="140"/>
      <c r="M345" s="140">
        <f>SUM(N345:Q345)</f>
        <v>0</v>
      </c>
      <c r="N345" s="140"/>
      <c r="O345" s="140"/>
      <c r="P345" s="140"/>
      <c r="Q345" s="253"/>
    </row>
    <row r="346" spans="1:17" s="138" customFormat="1" ht="22.5" hidden="1">
      <c r="A346" s="266"/>
      <c r="B346" s="79" t="s">
        <v>90</v>
      </c>
      <c r="C346" s="34"/>
      <c r="D346" s="261">
        <v>4308</v>
      </c>
      <c r="E346" s="140">
        <f>F346+G346</f>
        <v>0</v>
      </c>
      <c r="F346" s="140"/>
      <c r="G346" s="253">
        <f>Q346</f>
        <v>0</v>
      </c>
      <c r="H346" s="140">
        <f>I346+M346</f>
        <v>0</v>
      </c>
      <c r="I346" s="140">
        <f>SUM(J346:L346)</f>
        <v>0</v>
      </c>
      <c r="J346" s="140"/>
      <c r="K346" s="140"/>
      <c r="L346" s="140"/>
      <c r="M346" s="140">
        <f>SUM(N346:Q346)</f>
        <v>0</v>
      </c>
      <c r="N346" s="140"/>
      <c r="O346" s="140"/>
      <c r="P346" s="140"/>
      <c r="Q346" s="253"/>
    </row>
    <row r="347" spans="1:17" s="138" customFormat="1" ht="22.5" hidden="1">
      <c r="A347" s="266"/>
      <c r="B347" s="79" t="s">
        <v>90</v>
      </c>
      <c r="C347" s="34"/>
      <c r="D347" s="261">
        <v>4309</v>
      </c>
      <c r="E347" s="140">
        <f>F347+G347</f>
        <v>0</v>
      </c>
      <c r="F347" s="140">
        <f>L347</f>
        <v>0</v>
      </c>
      <c r="G347" s="253"/>
      <c r="H347" s="140">
        <f>I347+M347</f>
        <v>0</v>
      </c>
      <c r="I347" s="140">
        <f>SUM(J347:L347)</f>
        <v>0</v>
      </c>
      <c r="J347" s="140"/>
      <c r="K347" s="140"/>
      <c r="L347" s="140"/>
      <c r="M347" s="140">
        <f>SUM(N347:Q347)</f>
        <v>0</v>
      </c>
      <c r="N347" s="140"/>
      <c r="O347" s="140"/>
      <c r="P347" s="140"/>
      <c r="Q347" s="253"/>
    </row>
    <row r="348" spans="1:19" s="138" customFormat="1" ht="11.25" hidden="1">
      <c r="A348" s="266"/>
      <c r="B348" s="134"/>
      <c r="C348" s="136"/>
      <c r="D348" s="136"/>
      <c r="E348" s="135"/>
      <c r="F348" s="135"/>
      <c r="G348" s="135"/>
      <c r="H348" s="135"/>
      <c r="I348" s="135"/>
      <c r="J348" s="135"/>
      <c r="K348" s="135"/>
      <c r="L348" s="135"/>
      <c r="M348" s="135"/>
      <c r="N348" s="135"/>
      <c r="O348" s="135"/>
      <c r="P348" s="135"/>
      <c r="Q348" s="135"/>
      <c r="S348" s="392"/>
    </row>
    <row r="349" spans="1:19" s="138" customFormat="1" ht="11.25" hidden="1">
      <c r="A349" s="266"/>
      <c r="B349" s="134"/>
      <c r="C349" s="638"/>
      <c r="D349" s="638"/>
      <c r="E349" s="639"/>
      <c r="F349" s="639"/>
      <c r="G349" s="639"/>
      <c r="H349" s="639"/>
      <c r="I349" s="639"/>
      <c r="J349" s="639"/>
      <c r="K349" s="639"/>
      <c r="L349" s="639"/>
      <c r="M349" s="639"/>
      <c r="N349" s="639"/>
      <c r="O349" s="639"/>
      <c r="P349" s="639"/>
      <c r="Q349" s="639"/>
      <c r="S349" s="392"/>
    </row>
    <row r="350" spans="1:17" s="138" customFormat="1" ht="11.25" customHeight="1">
      <c r="A350" s="266"/>
      <c r="B350" s="636" t="s">
        <v>750</v>
      </c>
      <c r="C350" s="476"/>
      <c r="D350" s="477"/>
      <c r="E350" s="478"/>
      <c r="F350" s="478"/>
      <c r="G350" s="478"/>
      <c r="H350" s="478"/>
      <c r="I350" s="478"/>
      <c r="J350" s="478"/>
      <c r="K350" s="478"/>
      <c r="L350" s="478"/>
      <c r="M350" s="478"/>
      <c r="N350" s="478"/>
      <c r="O350" s="478"/>
      <c r="P350" s="478"/>
      <c r="Q350" s="479"/>
    </row>
    <row r="351" spans="1:17" s="138" customFormat="1" ht="18">
      <c r="A351" s="266" t="s">
        <v>478</v>
      </c>
      <c r="B351" s="636" t="s">
        <v>751</v>
      </c>
      <c r="C351" s="651"/>
      <c r="D351" s="652"/>
      <c r="E351" s="392"/>
      <c r="F351" s="392"/>
      <c r="G351" s="392"/>
      <c r="H351" s="392"/>
      <c r="I351" s="392"/>
      <c r="J351" s="392"/>
      <c r="K351" s="392"/>
      <c r="L351" s="392"/>
      <c r="M351" s="392"/>
      <c r="N351" s="392"/>
      <c r="O351" s="392"/>
      <c r="P351" s="392"/>
      <c r="Q351" s="646"/>
    </row>
    <row r="352" spans="1:17" s="138" customFormat="1" ht="18">
      <c r="A352" s="266"/>
      <c r="B352" s="637" t="s">
        <v>752</v>
      </c>
      <c r="C352" s="654" t="s">
        <v>518</v>
      </c>
      <c r="D352" s="653"/>
      <c r="E352" s="649"/>
      <c r="F352" s="649"/>
      <c r="G352" s="649"/>
      <c r="H352" s="649"/>
      <c r="I352" s="649"/>
      <c r="J352" s="649"/>
      <c r="K352" s="649"/>
      <c r="L352" s="649"/>
      <c r="M352" s="649"/>
      <c r="N352" s="649"/>
      <c r="O352" s="649"/>
      <c r="P352" s="649"/>
      <c r="Q352" s="650"/>
    </row>
    <row r="353" spans="1:17" s="138" customFormat="1" ht="12.75">
      <c r="A353" s="266"/>
      <c r="B353" s="642" t="s">
        <v>753</v>
      </c>
      <c r="C353" s="34"/>
      <c r="D353" s="141" t="s">
        <v>480</v>
      </c>
      <c r="E353" s="127">
        <f>E374+E375</f>
        <v>49994</v>
      </c>
      <c r="F353" s="127">
        <f aca="true" t="shared" si="91" ref="F353:Q353">F374+F375</f>
        <v>7498</v>
      </c>
      <c r="G353" s="127">
        <f t="shared" si="91"/>
        <v>42496</v>
      </c>
      <c r="H353" s="127">
        <f t="shared" si="91"/>
        <v>49994</v>
      </c>
      <c r="I353" s="127">
        <f t="shared" si="91"/>
        <v>7498</v>
      </c>
      <c r="J353" s="127">
        <f t="shared" si="91"/>
        <v>0</v>
      </c>
      <c r="K353" s="127">
        <f t="shared" si="91"/>
        <v>0</v>
      </c>
      <c r="L353" s="127">
        <f t="shared" si="91"/>
        <v>7498</v>
      </c>
      <c r="M353" s="127">
        <f t="shared" si="91"/>
        <v>42496</v>
      </c>
      <c r="N353" s="127">
        <f t="shared" si="91"/>
        <v>0</v>
      </c>
      <c r="O353" s="127">
        <f t="shared" si="91"/>
        <v>0</v>
      </c>
      <c r="P353" s="127">
        <f t="shared" si="91"/>
        <v>0</v>
      </c>
      <c r="Q353" s="674">
        <f t="shared" si="91"/>
        <v>42496</v>
      </c>
    </row>
    <row r="354" spans="1:17" s="138" customFormat="1" ht="33.75">
      <c r="A354" s="266"/>
      <c r="B354" s="79" t="s">
        <v>234</v>
      </c>
      <c r="C354" s="640"/>
      <c r="D354" s="643">
        <v>4117</v>
      </c>
      <c r="E354" s="140">
        <f aca="true" t="shared" si="92" ref="E354:E374">F354+G354</f>
        <v>1716</v>
      </c>
      <c r="F354" s="140"/>
      <c r="G354" s="641">
        <f>Q354</f>
        <v>1716</v>
      </c>
      <c r="H354" s="140">
        <f aca="true" t="shared" si="93" ref="H354:H374">I354+M354</f>
        <v>1716</v>
      </c>
      <c r="I354" s="140">
        <f aca="true" t="shared" si="94" ref="I354:I374">SUM(J354:L354)</f>
        <v>0</v>
      </c>
      <c r="J354" s="140"/>
      <c r="K354" s="140"/>
      <c r="L354" s="140"/>
      <c r="M354" s="140">
        <f aca="true" t="shared" si="95" ref="M354:M373">SUM(N354:Q354)</f>
        <v>1716</v>
      </c>
      <c r="N354" s="140"/>
      <c r="O354" s="140"/>
      <c r="P354" s="140"/>
      <c r="Q354" s="644">
        <v>1716</v>
      </c>
    </row>
    <row r="355" spans="1:17" s="138" customFormat="1" ht="33.75">
      <c r="A355" s="266"/>
      <c r="B355" s="79" t="s">
        <v>234</v>
      </c>
      <c r="C355" s="34"/>
      <c r="D355" s="261">
        <v>4119</v>
      </c>
      <c r="E355" s="140">
        <f t="shared" si="92"/>
        <v>303</v>
      </c>
      <c r="F355" s="140">
        <f>L355</f>
        <v>303</v>
      </c>
      <c r="G355" s="253"/>
      <c r="H355" s="140">
        <f t="shared" si="93"/>
        <v>303</v>
      </c>
      <c r="I355" s="140">
        <f t="shared" si="94"/>
        <v>303</v>
      </c>
      <c r="J355" s="140"/>
      <c r="K355" s="140"/>
      <c r="L355" s="552">
        <v>303</v>
      </c>
      <c r="M355" s="140">
        <f t="shared" si="95"/>
        <v>0</v>
      </c>
      <c r="N355" s="140"/>
      <c r="O355" s="140"/>
      <c r="P355" s="140"/>
      <c r="Q355" s="253"/>
    </row>
    <row r="356" spans="1:17" s="138" customFormat="1" ht="22.5">
      <c r="A356" s="266"/>
      <c r="B356" s="79" t="s">
        <v>236</v>
      </c>
      <c r="C356" s="34"/>
      <c r="D356" s="261">
        <v>4127</v>
      </c>
      <c r="E356" s="140">
        <f t="shared" si="92"/>
        <v>211</v>
      </c>
      <c r="F356" s="140"/>
      <c r="G356" s="253">
        <f>Q356</f>
        <v>211</v>
      </c>
      <c r="H356" s="140">
        <f t="shared" si="93"/>
        <v>211</v>
      </c>
      <c r="I356" s="140">
        <f t="shared" si="94"/>
        <v>0</v>
      </c>
      <c r="J356" s="140"/>
      <c r="K356" s="140"/>
      <c r="L356" s="140"/>
      <c r="M356" s="140">
        <f t="shared" si="95"/>
        <v>211</v>
      </c>
      <c r="N356" s="140"/>
      <c r="O356" s="140"/>
      <c r="P356" s="140"/>
      <c r="Q356" s="552">
        <v>211</v>
      </c>
    </row>
    <row r="357" spans="1:17" s="138" customFormat="1" ht="22.5">
      <c r="A357" s="266"/>
      <c r="B357" s="79" t="s">
        <v>236</v>
      </c>
      <c r="C357" s="34"/>
      <c r="D357" s="261">
        <v>4129</v>
      </c>
      <c r="E357" s="140">
        <f t="shared" si="92"/>
        <v>37</v>
      </c>
      <c r="F357" s="140">
        <f>L357</f>
        <v>37</v>
      </c>
      <c r="G357" s="253"/>
      <c r="H357" s="140">
        <f t="shared" si="93"/>
        <v>37</v>
      </c>
      <c r="I357" s="140">
        <f t="shared" si="94"/>
        <v>37</v>
      </c>
      <c r="J357" s="140"/>
      <c r="K357" s="140"/>
      <c r="L357" s="552">
        <v>37</v>
      </c>
      <c r="M357" s="140">
        <f t="shared" si="95"/>
        <v>0</v>
      </c>
      <c r="N357" s="140"/>
      <c r="O357" s="140"/>
      <c r="P357" s="140"/>
      <c r="Q357" s="253"/>
    </row>
    <row r="358" spans="1:17" s="138" customFormat="1" ht="33.75">
      <c r="A358" s="266"/>
      <c r="B358" s="79" t="s">
        <v>570</v>
      </c>
      <c r="C358" s="34"/>
      <c r="D358" s="261">
        <v>4017</v>
      </c>
      <c r="E358" s="140">
        <f t="shared" si="92"/>
        <v>7168</v>
      </c>
      <c r="F358" s="140"/>
      <c r="G358" s="253">
        <f>M358</f>
        <v>7168</v>
      </c>
      <c r="H358" s="140">
        <f t="shared" si="93"/>
        <v>7168</v>
      </c>
      <c r="I358" s="140">
        <f t="shared" si="94"/>
        <v>0</v>
      </c>
      <c r="J358" s="140"/>
      <c r="K358" s="140"/>
      <c r="L358" s="140"/>
      <c r="M358" s="140">
        <f t="shared" si="95"/>
        <v>7168</v>
      </c>
      <c r="N358" s="140"/>
      <c r="O358" s="140"/>
      <c r="P358" s="140"/>
      <c r="Q358" s="552">
        <v>7168</v>
      </c>
    </row>
    <row r="359" spans="1:17" s="138" customFormat="1" ht="33.75">
      <c r="A359" s="266"/>
      <c r="B359" s="79" t="s">
        <v>570</v>
      </c>
      <c r="C359" s="34"/>
      <c r="D359" s="261">
        <v>4019</v>
      </c>
      <c r="E359" s="140">
        <f t="shared" si="92"/>
        <v>1265</v>
      </c>
      <c r="F359" s="140">
        <f>I359</f>
        <v>1265</v>
      </c>
      <c r="G359" s="253"/>
      <c r="H359" s="140">
        <f t="shared" si="93"/>
        <v>1265</v>
      </c>
      <c r="I359" s="140">
        <f t="shared" si="94"/>
        <v>1265</v>
      </c>
      <c r="J359" s="140"/>
      <c r="K359" s="140"/>
      <c r="L359" s="552">
        <v>1265</v>
      </c>
      <c r="M359" s="140">
        <f t="shared" si="95"/>
        <v>0</v>
      </c>
      <c r="N359" s="140"/>
      <c r="O359" s="140"/>
      <c r="P359" s="140"/>
      <c r="Q359" s="253"/>
    </row>
    <row r="360" spans="1:17" s="138" customFormat="1" ht="22.5">
      <c r="A360" s="266"/>
      <c r="B360" s="79" t="s">
        <v>196</v>
      </c>
      <c r="C360" s="34"/>
      <c r="D360" s="261">
        <v>4177</v>
      </c>
      <c r="E360" s="140">
        <f t="shared" si="92"/>
        <v>27166</v>
      </c>
      <c r="F360" s="140"/>
      <c r="G360" s="253">
        <f>M360</f>
        <v>27166</v>
      </c>
      <c r="H360" s="140">
        <f t="shared" si="93"/>
        <v>27166</v>
      </c>
      <c r="I360" s="140">
        <f t="shared" si="94"/>
        <v>0</v>
      </c>
      <c r="J360" s="140"/>
      <c r="K360" s="140"/>
      <c r="L360" s="140"/>
      <c r="M360" s="140">
        <f t="shared" si="95"/>
        <v>27166</v>
      </c>
      <c r="N360" s="140"/>
      <c r="O360" s="140"/>
      <c r="P360" s="140"/>
      <c r="Q360" s="552">
        <v>27166</v>
      </c>
    </row>
    <row r="361" spans="1:17" s="138" customFormat="1" ht="22.5">
      <c r="A361" s="266"/>
      <c r="B361" s="79" t="s">
        <v>196</v>
      </c>
      <c r="C361" s="34"/>
      <c r="D361" s="261">
        <v>4179</v>
      </c>
      <c r="E361" s="140">
        <f t="shared" si="92"/>
        <v>4794</v>
      </c>
      <c r="F361" s="140">
        <f>I361</f>
        <v>4794</v>
      </c>
      <c r="G361" s="253"/>
      <c r="H361" s="140">
        <f t="shared" si="93"/>
        <v>4794</v>
      </c>
      <c r="I361" s="140">
        <f t="shared" si="94"/>
        <v>4794</v>
      </c>
      <c r="J361" s="140"/>
      <c r="K361" s="140"/>
      <c r="L361" s="552">
        <v>4794</v>
      </c>
      <c r="M361" s="140">
        <f t="shared" si="95"/>
        <v>0</v>
      </c>
      <c r="N361" s="140"/>
      <c r="O361" s="140"/>
      <c r="P361" s="140"/>
      <c r="Q361" s="253"/>
    </row>
    <row r="362" spans="1:17" s="138" customFormat="1" ht="22.5">
      <c r="A362" s="266"/>
      <c r="B362" s="79" t="s">
        <v>107</v>
      </c>
      <c r="C362" s="34"/>
      <c r="D362" s="261">
        <v>4217</v>
      </c>
      <c r="E362" s="140">
        <f t="shared" si="92"/>
        <v>4955</v>
      </c>
      <c r="F362" s="140"/>
      <c r="G362" s="253">
        <f>M362</f>
        <v>4955</v>
      </c>
      <c r="H362" s="140">
        <f t="shared" si="93"/>
        <v>4955</v>
      </c>
      <c r="I362" s="140">
        <f t="shared" si="94"/>
        <v>0</v>
      </c>
      <c r="J362" s="140"/>
      <c r="K362" s="140"/>
      <c r="L362" s="140"/>
      <c r="M362" s="140">
        <f t="shared" si="95"/>
        <v>4955</v>
      </c>
      <c r="N362" s="140"/>
      <c r="O362" s="140"/>
      <c r="P362" s="140"/>
      <c r="Q362" s="552">
        <v>4955</v>
      </c>
    </row>
    <row r="363" spans="1:17" s="138" customFormat="1" ht="22.5">
      <c r="A363" s="266"/>
      <c r="B363" s="79" t="s">
        <v>107</v>
      </c>
      <c r="C363" s="34"/>
      <c r="D363" s="261">
        <v>4219</v>
      </c>
      <c r="E363" s="140">
        <f t="shared" si="92"/>
        <v>874</v>
      </c>
      <c r="F363" s="140">
        <f>H363</f>
        <v>874</v>
      </c>
      <c r="G363" s="253"/>
      <c r="H363" s="140">
        <f t="shared" si="93"/>
        <v>874</v>
      </c>
      <c r="I363" s="140">
        <f t="shared" si="94"/>
        <v>874</v>
      </c>
      <c r="J363" s="140"/>
      <c r="K363" s="140"/>
      <c r="L363" s="552">
        <v>874</v>
      </c>
      <c r="M363" s="140">
        <f t="shared" si="95"/>
        <v>0</v>
      </c>
      <c r="N363" s="140"/>
      <c r="O363" s="140"/>
      <c r="P363" s="140"/>
      <c r="Q363" s="253"/>
    </row>
    <row r="364" spans="1:17" s="138" customFormat="1" ht="45">
      <c r="A364" s="266"/>
      <c r="B364" s="393" t="s">
        <v>239</v>
      </c>
      <c r="C364" s="34"/>
      <c r="D364" s="261">
        <v>4757</v>
      </c>
      <c r="E364" s="140">
        <f t="shared" si="92"/>
        <v>0</v>
      </c>
      <c r="F364" s="140"/>
      <c r="G364" s="253">
        <f>M364</f>
        <v>0</v>
      </c>
      <c r="H364" s="140">
        <f t="shared" si="93"/>
        <v>0</v>
      </c>
      <c r="I364" s="140">
        <f t="shared" si="94"/>
        <v>0</v>
      </c>
      <c r="J364" s="140"/>
      <c r="K364" s="140"/>
      <c r="L364" s="140"/>
      <c r="M364" s="140">
        <f t="shared" si="95"/>
        <v>0</v>
      </c>
      <c r="N364" s="140"/>
      <c r="O364" s="140"/>
      <c r="P364" s="140"/>
      <c r="Q364" s="253"/>
    </row>
    <row r="365" spans="1:17" s="138" customFormat="1" ht="45">
      <c r="A365" s="266"/>
      <c r="B365" s="393" t="s">
        <v>239</v>
      </c>
      <c r="C365" s="34"/>
      <c r="D365" s="261">
        <v>4759</v>
      </c>
      <c r="E365" s="140">
        <f t="shared" si="92"/>
        <v>0</v>
      </c>
      <c r="F365" s="140">
        <f>H365</f>
        <v>0</v>
      </c>
      <c r="G365" s="253"/>
      <c r="H365" s="140">
        <f t="shared" si="93"/>
        <v>0</v>
      </c>
      <c r="I365" s="140">
        <f t="shared" si="94"/>
        <v>0</v>
      </c>
      <c r="J365" s="140"/>
      <c r="K365" s="140"/>
      <c r="L365" s="140"/>
      <c r="M365" s="140">
        <f t="shared" si="95"/>
        <v>0</v>
      </c>
      <c r="N365" s="140"/>
      <c r="O365" s="140"/>
      <c r="P365" s="140"/>
      <c r="Q365" s="253"/>
    </row>
    <row r="366" spans="1:17" s="138" customFormat="1" ht="22.5">
      <c r="A366" s="266"/>
      <c r="B366" s="79" t="s">
        <v>90</v>
      </c>
      <c r="C366" s="34"/>
      <c r="D366" s="261">
        <v>4307</v>
      </c>
      <c r="E366" s="140">
        <f t="shared" si="92"/>
        <v>897</v>
      </c>
      <c r="F366" s="140"/>
      <c r="G366" s="253">
        <f>M366</f>
        <v>897</v>
      </c>
      <c r="H366" s="140">
        <f t="shared" si="93"/>
        <v>897</v>
      </c>
      <c r="I366" s="140">
        <f t="shared" si="94"/>
        <v>0</v>
      </c>
      <c r="J366" s="140"/>
      <c r="K366" s="140"/>
      <c r="L366" s="140"/>
      <c r="M366" s="140">
        <f t="shared" si="95"/>
        <v>897</v>
      </c>
      <c r="N366" s="140"/>
      <c r="O366" s="140"/>
      <c r="P366" s="140"/>
      <c r="Q366" s="552">
        <v>897</v>
      </c>
    </row>
    <row r="367" spans="1:17" s="138" customFormat="1" ht="22.5">
      <c r="A367" s="266"/>
      <c r="B367" s="79" t="s">
        <v>90</v>
      </c>
      <c r="C367" s="34"/>
      <c r="D367" s="261">
        <v>4309</v>
      </c>
      <c r="E367" s="140">
        <f t="shared" si="92"/>
        <v>158</v>
      </c>
      <c r="F367" s="140">
        <f>H367</f>
        <v>158</v>
      </c>
      <c r="G367" s="253"/>
      <c r="H367" s="140">
        <f t="shared" si="93"/>
        <v>158</v>
      </c>
      <c r="I367" s="140">
        <f t="shared" si="94"/>
        <v>158</v>
      </c>
      <c r="J367" s="140"/>
      <c r="K367" s="140"/>
      <c r="L367" s="552">
        <v>158</v>
      </c>
      <c r="M367" s="140">
        <f t="shared" si="95"/>
        <v>0</v>
      </c>
      <c r="N367" s="140"/>
      <c r="O367" s="140"/>
      <c r="P367" s="140"/>
      <c r="Q367" s="253"/>
    </row>
    <row r="368" spans="1:17" s="138" customFormat="1" ht="56.25">
      <c r="A368" s="266"/>
      <c r="B368" s="79" t="s">
        <v>245</v>
      </c>
      <c r="C368" s="34"/>
      <c r="D368" s="261">
        <v>4367</v>
      </c>
      <c r="E368" s="140">
        <f t="shared" si="92"/>
        <v>170</v>
      </c>
      <c r="F368" s="140"/>
      <c r="G368" s="253">
        <f>M368</f>
        <v>170</v>
      </c>
      <c r="H368" s="140">
        <f t="shared" si="93"/>
        <v>170</v>
      </c>
      <c r="I368" s="140">
        <f t="shared" si="94"/>
        <v>0</v>
      </c>
      <c r="J368" s="140"/>
      <c r="K368" s="140"/>
      <c r="L368" s="140"/>
      <c r="M368" s="140">
        <f t="shared" si="95"/>
        <v>170</v>
      </c>
      <c r="N368" s="140"/>
      <c r="O368" s="140"/>
      <c r="P368" s="140"/>
      <c r="Q368" s="552">
        <v>170</v>
      </c>
    </row>
    <row r="369" spans="1:17" s="138" customFormat="1" ht="56.25">
      <c r="A369" s="266"/>
      <c r="B369" s="79" t="s">
        <v>245</v>
      </c>
      <c r="C369" s="34"/>
      <c r="D369" s="261">
        <v>4369</v>
      </c>
      <c r="E369" s="140">
        <f t="shared" si="92"/>
        <v>30</v>
      </c>
      <c r="F369" s="140">
        <f>H369</f>
        <v>30</v>
      </c>
      <c r="G369" s="253"/>
      <c r="H369" s="140">
        <f t="shared" si="93"/>
        <v>30</v>
      </c>
      <c r="I369" s="140">
        <f t="shared" si="94"/>
        <v>30</v>
      </c>
      <c r="J369" s="140"/>
      <c r="K369" s="140"/>
      <c r="L369" s="552">
        <v>30</v>
      </c>
      <c r="M369" s="140">
        <f t="shared" si="95"/>
        <v>0</v>
      </c>
      <c r="N369" s="140"/>
      <c r="O369" s="140"/>
      <c r="P369" s="140"/>
      <c r="Q369" s="253"/>
    </row>
    <row r="370" spans="1:17" s="138" customFormat="1" ht="67.5">
      <c r="A370" s="266"/>
      <c r="B370" s="79" t="s">
        <v>199</v>
      </c>
      <c r="C370" s="34"/>
      <c r="D370" s="261">
        <v>4747</v>
      </c>
      <c r="E370" s="140">
        <f t="shared" si="92"/>
        <v>213</v>
      </c>
      <c r="F370" s="140"/>
      <c r="G370" s="253">
        <f>M370</f>
        <v>213</v>
      </c>
      <c r="H370" s="140">
        <f t="shared" si="93"/>
        <v>213</v>
      </c>
      <c r="I370" s="140">
        <f t="shared" si="94"/>
        <v>0</v>
      </c>
      <c r="J370" s="140"/>
      <c r="K370" s="140"/>
      <c r="L370" s="140"/>
      <c r="M370" s="140">
        <f t="shared" si="95"/>
        <v>213</v>
      </c>
      <c r="N370" s="140"/>
      <c r="O370" s="140"/>
      <c r="P370" s="140"/>
      <c r="Q370" s="253">
        <v>213</v>
      </c>
    </row>
    <row r="371" spans="1:17" s="138" customFormat="1" ht="67.5">
      <c r="A371" s="266"/>
      <c r="B371" s="79" t="s">
        <v>199</v>
      </c>
      <c r="C371" s="34"/>
      <c r="D371" s="261">
        <v>4749</v>
      </c>
      <c r="E371" s="140">
        <f t="shared" si="92"/>
        <v>37</v>
      </c>
      <c r="F371" s="140">
        <f>H371</f>
        <v>37</v>
      </c>
      <c r="G371" s="253"/>
      <c r="H371" s="140">
        <f t="shared" si="93"/>
        <v>37</v>
      </c>
      <c r="I371" s="140">
        <f t="shared" si="94"/>
        <v>37</v>
      </c>
      <c r="J371" s="140"/>
      <c r="K371" s="140"/>
      <c r="L371" s="140">
        <v>37</v>
      </c>
      <c r="M371" s="140">
        <f t="shared" si="95"/>
        <v>0</v>
      </c>
      <c r="N371" s="140"/>
      <c r="O371" s="140"/>
      <c r="P371" s="140"/>
      <c r="Q371" s="253"/>
    </row>
    <row r="372" spans="1:17" s="138" customFormat="1" ht="22.5">
      <c r="A372" s="266"/>
      <c r="B372" s="397" t="s">
        <v>115</v>
      </c>
      <c r="C372" s="34"/>
      <c r="D372" s="261">
        <v>4417</v>
      </c>
      <c r="E372" s="140">
        <f t="shared" si="92"/>
        <v>0</v>
      </c>
      <c r="F372" s="140"/>
      <c r="G372" s="253">
        <f>M372</f>
        <v>0</v>
      </c>
      <c r="H372" s="140">
        <f t="shared" si="93"/>
        <v>0</v>
      </c>
      <c r="I372" s="140">
        <f t="shared" si="94"/>
        <v>0</v>
      </c>
      <c r="J372" s="140"/>
      <c r="K372" s="140"/>
      <c r="L372" s="140"/>
      <c r="M372" s="140">
        <f t="shared" si="95"/>
        <v>0</v>
      </c>
      <c r="N372" s="140"/>
      <c r="O372" s="140"/>
      <c r="P372" s="140"/>
      <c r="Q372" s="552"/>
    </row>
    <row r="373" spans="1:17" s="138" customFormat="1" ht="22.5">
      <c r="A373" s="266"/>
      <c r="B373" s="397" t="s">
        <v>115</v>
      </c>
      <c r="C373" s="34"/>
      <c r="D373" s="261">
        <v>4419</v>
      </c>
      <c r="E373" s="140">
        <f t="shared" si="92"/>
        <v>0</v>
      </c>
      <c r="F373" s="140">
        <f>H373</f>
        <v>0</v>
      </c>
      <c r="G373" s="253"/>
      <c r="H373" s="140">
        <f t="shared" si="93"/>
        <v>0</v>
      </c>
      <c r="I373" s="140">
        <f t="shared" si="94"/>
        <v>0</v>
      </c>
      <c r="J373" s="140"/>
      <c r="K373" s="140"/>
      <c r="L373" s="552"/>
      <c r="M373" s="140">
        <f t="shared" si="95"/>
        <v>0</v>
      </c>
      <c r="N373" s="140"/>
      <c r="O373" s="140"/>
      <c r="P373" s="140"/>
      <c r="Q373" s="253"/>
    </row>
    <row r="374" spans="1:19" s="139" customFormat="1" ht="11.25">
      <c r="A374" s="554"/>
      <c r="B374" s="278">
        <v>2010</v>
      </c>
      <c r="C374" s="555"/>
      <c r="D374" s="555"/>
      <c r="E374" s="137">
        <f t="shared" si="92"/>
        <v>49994</v>
      </c>
      <c r="F374" s="137">
        <f>SUM(F354:F373)</f>
        <v>7498</v>
      </c>
      <c r="G374" s="137">
        <f>SUM(G354:G373)</f>
        <v>42496</v>
      </c>
      <c r="H374" s="137">
        <f t="shared" si="93"/>
        <v>49994</v>
      </c>
      <c r="I374" s="137">
        <f t="shared" si="94"/>
        <v>7498</v>
      </c>
      <c r="J374" s="137">
        <f>SUM(J354:J373)</f>
        <v>0</v>
      </c>
      <c r="K374" s="137">
        <f>SUM(K354:K373)</f>
        <v>0</v>
      </c>
      <c r="L374" s="137">
        <f>SUM(L354:L373)</f>
        <v>7498</v>
      </c>
      <c r="M374" s="137">
        <f>N374+O374+P374+Q374</f>
        <v>42496</v>
      </c>
      <c r="N374" s="137">
        <f>SUM(N354:N373)</f>
        <v>0</v>
      </c>
      <c r="O374" s="137">
        <f>SUM(O354:O373)</f>
        <v>0</v>
      </c>
      <c r="P374" s="137">
        <f>SUM(P354:P373)</f>
        <v>0</v>
      </c>
      <c r="Q374" s="137">
        <f>SUM(Q354:Q373)</f>
        <v>42496</v>
      </c>
      <c r="S374" s="556"/>
    </row>
    <row r="375" spans="1:17" s="138" customFormat="1" ht="11.25">
      <c r="A375" s="266"/>
      <c r="B375" s="134"/>
      <c r="C375" s="136"/>
      <c r="D375" s="136"/>
      <c r="E375" s="135"/>
      <c r="F375" s="135"/>
      <c r="G375" s="133"/>
      <c r="H375" s="135"/>
      <c r="I375" s="135"/>
      <c r="J375" s="136"/>
      <c r="K375" s="136"/>
      <c r="L375" s="242"/>
      <c r="M375" s="135"/>
      <c r="N375" s="136"/>
      <c r="O375" s="136"/>
      <c r="P375" s="136"/>
      <c r="Q375" s="136"/>
    </row>
    <row r="376" spans="1:17" s="138" customFormat="1" ht="15.75">
      <c r="A376" s="266" t="s">
        <v>494</v>
      </c>
      <c r="B376" s="657"/>
      <c r="C376" s="659" t="s">
        <v>522</v>
      </c>
      <c r="D376" s="477"/>
      <c r="E376" s="478"/>
      <c r="F376" s="478"/>
      <c r="G376" s="478"/>
      <c r="H376" s="478"/>
      <c r="I376" s="478"/>
      <c r="J376" s="478"/>
      <c r="K376" s="478"/>
      <c r="L376" s="478"/>
      <c r="M376" s="478"/>
      <c r="N376" s="478"/>
      <c r="O376" s="478"/>
      <c r="P376" s="478"/>
      <c r="Q376" s="479"/>
    </row>
    <row r="377" spans="1:17" s="138" customFormat="1" ht="15">
      <c r="A377" s="266"/>
      <c r="B377" s="655"/>
      <c r="C377" s="660" t="s">
        <v>523</v>
      </c>
      <c r="D377" s="402"/>
      <c r="E377" s="392"/>
      <c r="F377" s="392"/>
      <c r="G377" s="392"/>
      <c r="H377" s="392"/>
      <c r="I377" s="392"/>
      <c r="J377" s="392"/>
      <c r="K377" s="392"/>
      <c r="L377" s="392"/>
      <c r="M377" s="392"/>
      <c r="N377" s="392"/>
      <c r="O377" s="392"/>
      <c r="P377" s="392"/>
      <c r="Q377" s="646"/>
    </row>
    <row r="378" spans="1:17" s="138" customFormat="1" ht="15">
      <c r="A378" s="266"/>
      <c r="B378" s="658"/>
      <c r="C378" s="661" t="s">
        <v>524</v>
      </c>
      <c r="D378" s="648"/>
      <c r="E378" s="649"/>
      <c r="F378" s="649"/>
      <c r="G378" s="649"/>
      <c r="H378" s="649"/>
      <c r="I378" s="649"/>
      <c r="J378" s="649"/>
      <c r="K378" s="649"/>
      <c r="L378" s="649"/>
      <c r="M378" s="649"/>
      <c r="N378" s="649"/>
      <c r="O378" s="649"/>
      <c r="P378" s="649"/>
      <c r="Q378" s="650"/>
    </row>
    <row r="379" spans="1:17" s="138" customFormat="1" ht="18">
      <c r="A379" s="266"/>
      <c r="B379" s="637" t="s">
        <v>752</v>
      </c>
      <c r="C379" s="654" t="s">
        <v>519</v>
      </c>
      <c r="D379" s="653"/>
      <c r="E379" s="649"/>
      <c r="F379" s="649"/>
      <c r="G379" s="649"/>
      <c r="H379" s="649"/>
      <c r="I379" s="649"/>
      <c r="J379" s="649"/>
      <c r="K379" s="649"/>
      <c r="L379" s="649"/>
      <c r="M379" s="649"/>
      <c r="N379" s="649"/>
      <c r="O379" s="649"/>
      <c r="P379" s="649"/>
      <c r="Q379" s="650"/>
    </row>
    <row r="380" spans="1:17" s="138" customFormat="1" ht="12.75">
      <c r="A380" s="266"/>
      <c r="B380" s="642" t="s">
        <v>753</v>
      </c>
      <c r="C380" s="133"/>
      <c r="D380" s="141" t="s">
        <v>480</v>
      </c>
      <c r="E380" s="127">
        <f>E410+E411</f>
        <v>175766</v>
      </c>
      <c r="F380" s="127">
        <f aca="true" t="shared" si="96" ref="F380:Q380">F410+F411</f>
        <v>30661</v>
      </c>
      <c r="G380" s="127">
        <f t="shared" si="96"/>
        <v>145105</v>
      </c>
      <c r="H380" s="127">
        <f t="shared" si="96"/>
        <v>175766</v>
      </c>
      <c r="I380" s="127">
        <f t="shared" si="96"/>
        <v>26364</v>
      </c>
      <c r="J380" s="127">
        <f t="shared" si="96"/>
        <v>0</v>
      </c>
      <c r="K380" s="127">
        <f t="shared" si="96"/>
        <v>0</v>
      </c>
      <c r="L380" s="127">
        <f t="shared" si="96"/>
        <v>26364</v>
      </c>
      <c r="M380" s="127">
        <f t="shared" si="96"/>
        <v>149402</v>
      </c>
      <c r="N380" s="127">
        <f t="shared" si="96"/>
        <v>0</v>
      </c>
      <c r="O380" s="127">
        <f t="shared" si="96"/>
        <v>0</v>
      </c>
      <c r="P380" s="127">
        <f t="shared" si="96"/>
        <v>0</v>
      </c>
      <c r="Q380" s="674">
        <f t="shared" si="96"/>
        <v>149402</v>
      </c>
    </row>
    <row r="381" spans="1:17" s="138" customFormat="1" ht="33.75">
      <c r="A381" s="266"/>
      <c r="B381" s="79" t="s">
        <v>234</v>
      </c>
      <c r="C381" s="640"/>
      <c r="D381" s="643">
        <v>4117</v>
      </c>
      <c r="E381" s="140">
        <f aca="true" t="shared" si="97" ref="E381:E410">F381+G381</f>
        <v>4301</v>
      </c>
      <c r="F381" s="140"/>
      <c r="G381" s="641">
        <f>Q381</f>
        <v>4301</v>
      </c>
      <c r="H381" s="140">
        <f aca="true" t="shared" si="98" ref="H381:H410">I381+M381</f>
        <v>4301</v>
      </c>
      <c r="I381" s="140">
        <f aca="true" t="shared" si="99" ref="I381:I410">SUM(J381:L381)</f>
        <v>0</v>
      </c>
      <c r="J381" s="140"/>
      <c r="K381" s="140"/>
      <c r="L381" s="140"/>
      <c r="M381" s="140">
        <f aca="true" t="shared" si="100" ref="M381:M409">SUM(N381:Q381)</f>
        <v>4301</v>
      </c>
      <c r="N381" s="140"/>
      <c r="O381" s="140"/>
      <c r="P381" s="140"/>
      <c r="Q381" s="644">
        <v>4301</v>
      </c>
    </row>
    <row r="382" spans="1:17" s="138" customFormat="1" ht="33.75">
      <c r="A382" s="266"/>
      <c r="B382" s="79" t="s">
        <v>234</v>
      </c>
      <c r="C382" s="34"/>
      <c r="D382" s="261">
        <v>4119</v>
      </c>
      <c r="E382" s="140">
        <f t="shared" si="97"/>
        <v>228</v>
      </c>
      <c r="F382" s="140">
        <f>L382</f>
        <v>228</v>
      </c>
      <c r="G382" s="253"/>
      <c r="H382" s="140">
        <f t="shared" si="98"/>
        <v>228</v>
      </c>
      <c r="I382" s="140">
        <f t="shared" si="99"/>
        <v>228</v>
      </c>
      <c r="J382" s="140"/>
      <c r="K382" s="140"/>
      <c r="L382" s="552">
        <v>228</v>
      </c>
      <c r="M382" s="140">
        <f t="shared" si="100"/>
        <v>0</v>
      </c>
      <c r="N382" s="140"/>
      <c r="O382" s="140"/>
      <c r="P382" s="140"/>
      <c r="Q382" s="253"/>
    </row>
    <row r="383" spans="1:17" s="138" customFormat="1" ht="22.5">
      <c r="A383" s="266"/>
      <c r="B383" s="79" t="s">
        <v>236</v>
      </c>
      <c r="C383" s="34"/>
      <c r="D383" s="261">
        <v>4127</v>
      </c>
      <c r="E383" s="140">
        <f t="shared" si="97"/>
        <v>694</v>
      </c>
      <c r="F383" s="140"/>
      <c r="G383" s="253">
        <f>Q383</f>
        <v>694</v>
      </c>
      <c r="H383" s="140">
        <f t="shared" si="98"/>
        <v>694</v>
      </c>
      <c r="I383" s="140">
        <f t="shared" si="99"/>
        <v>0</v>
      </c>
      <c r="J383" s="140"/>
      <c r="K383" s="140"/>
      <c r="L383" s="140"/>
      <c r="M383" s="140">
        <f t="shared" si="100"/>
        <v>694</v>
      </c>
      <c r="N383" s="140"/>
      <c r="O383" s="140"/>
      <c r="P383" s="140"/>
      <c r="Q383" s="552">
        <v>694</v>
      </c>
    </row>
    <row r="384" spans="1:17" s="138" customFormat="1" ht="22.5">
      <c r="A384" s="266"/>
      <c r="B384" s="79" t="s">
        <v>236</v>
      </c>
      <c r="C384" s="34"/>
      <c r="D384" s="261">
        <v>4129</v>
      </c>
      <c r="E384" s="140">
        <f t="shared" si="97"/>
        <v>37</v>
      </c>
      <c r="F384" s="140">
        <f>L384</f>
        <v>37</v>
      </c>
      <c r="G384" s="253"/>
      <c r="H384" s="140">
        <f t="shared" si="98"/>
        <v>37</v>
      </c>
      <c r="I384" s="140">
        <f t="shared" si="99"/>
        <v>37</v>
      </c>
      <c r="J384" s="140"/>
      <c r="K384" s="140"/>
      <c r="L384" s="552">
        <v>37</v>
      </c>
      <c r="M384" s="140">
        <f t="shared" si="100"/>
        <v>0</v>
      </c>
      <c r="N384" s="140"/>
      <c r="O384" s="140"/>
      <c r="P384" s="140"/>
      <c r="Q384" s="253"/>
    </row>
    <row r="385" spans="1:17" s="138" customFormat="1" ht="33.75">
      <c r="A385" s="266"/>
      <c r="B385" s="79" t="s">
        <v>570</v>
      </c>
      <c r="C385" s="34"/>
      <c r="D385" s="261">
        <v>4018</v>
      </c>
      <c r="E385" s="140">
        <f t="shared" si="97"/>
        <v>26972</v>
      </c>
      <c r="F385" s="140"/>
      <c r="G385" s="253">
        <f>M385</f>
        <v>26972</v>
      </c>
      <c r="H385" s="140">
        <f t="shared" si="98"/>
        <v>26972</v>
      </c>
      <c r="I385" s="140">
        <f t="shared" si="99"/>
        <v>0</v>
      </c>
      <c r="J385" s="140"/>
      <c r="K385" s="140"/>
      <c r="L385" s="140"/>
      <c r="M385" s="140">
        <f t="shared" si="100"/>
        <v>26972</v>
      </c>
      <c r="N385" s="140"/>
      <c r="O385" s="140"/>
      <c r="P385" s="140"/>
      <c r="Q385" s="552">
        <v>26972</v>
      </c>
    </row>
    <row r="386" spans="1:17" s="138" customFormat="1" ht="33.75">
      <c r="A386" s="266"/>
      <c r="B386" s="79" t="s">
        <v>570</v>
      </c>
      <c r="C386" s="34"/>
      <c r="D386" s="261">
        <v>4019</v>
      </c>
      <c r="E386" s="140">
        <f t="shared" si="97"/>
        <v>1428</v>
      </c>
      <c r="F386" s="140">
        <f>I386</f>
        <v>1428</v>
      </c>
      <c r="G386" s="253"/>
      <c r="H386" s="140">
        <f t="shared" si="98"/>
        <v>1428</v>
      </c>
      <c r="I386" s="140">
        <f t="shared" si="99"/>
        <v>1428</v>
      </c>
      <c r="J386" s="140"/>
      <c r="K386" s="140"/>
      <c r="L386" s="552">
        <v>1428</v>
      </c>
      <c r="M386" s="140">
        <f t="shared" si="100"/>
        <v>0</v>
      </c>
      <c r="N386" s="140"/>
      <c r="O386" s="140"/>
      <c r="P386" s="140"/>
      <c r="Q386" s="253"/>
    </row>
    <row r="387" spans="1:17" s="138" customFormat="1" ht="22.5">
      <c r="A387" s="266"/>
      <c r="B387" s="79" t="s">
        <v>196</v>
      </c>
      <c r="C387" s="34"/>
      <c r="D387" s="261">
        <v>4177</v>
      </c>
      <c r="E387" s="140">
        <f t="shared" si="97"/>
        <v>950</v>
      </c>
      <c r="F387" s="140"/>
      <c r="G387" s="253">
        <f>M387</f>
        <v>950</v>
      </c>
      <c r="H387" s="140">
        <f t="shared" si="98"/>
        <v>950</v>
      </c>
      <c r="I387" s="140">
        <f t="shared" si="99"/>
        <v>0</v>
      </c>
      <c r="J387" s="140"/>
      <c r="K387" s="140"/>
      <c r="L387" s="140"/>
      <c r="M387" s="140">
        <f t="shared" si="100"/>
        <v>950</v>
      </c>
      <c r="N387" s="140"/>
      <c r="O387" s="140"/>
      <c r="P387" s="140"/>
      <c r="Q387" s="552">
        <v>950</v>
      </c>
    </row>
    <row r="388" spans="1:17" s="138" customFormat="1" ht="22.5">
      <c r="A388" s="266"/>
      <c r="B388" s="79" t="s">
        <v>196</v>
      </c>
      <c r="C388" s="34"/>
      <c r="D388" s="261">
        <v>4179</v>
      </c>
      <c r="E388" s="140">
        <f t="shared" si="97"/>
        <v>50</v>
      </c>
      <c r="F388" s="140">
        <f>I388</f>
        <v>50</v>
      </c>
      <c r="G388" s="253"/>
      <c r="H388" s="140">
        <f t="shared" si="98"/>
        <v>50</v>
      </c>
      <c r="I388" s="140">
        <f t="shared" si="99"/>
        <v>50</v>
      </c>
      <c r="J388" s="140"/>
      <c r="K388" s="140"/>
      <c r="L388" s="552">
        <v>50</v>
      </c>
      <c r="M388" s="140">
        <f t="shared" si="100"/>
        <v>0</v>
      </c>
      <c r="N388" s="140"/>
      <c r="O388" s="140"/>
      <c r="P388" s="140"/>
      <c r="Q388" s="253"/>
    </row>
    <row r="389" spans="1:17" s="138" customFormat="1" ht="22.5">
      <c r="A389" s="266"/>
      <c r="B389" s="79" t="s">
        <v>107</v>
      </c>
      <c r="C389" s="34"/>
      <c r="D389" s="261">
        <v>4217</v>
      </c>
      <c r="E389" s="140">
        <f t="shared" si="97"/>
        <v>3666</v>
      </c>
      <c r="F389" s="140"/>
      <c r="G389" s="253">
        <f>M389</f>
        <v>3666</v>
      </c>
      <c r="H389" s="140">
        <f t="shared" si="98"/>
        <v>3666</v>
      </c>
      <c r="I389" s="140">
        <f t="shared" si="99"/>
        <v>0</v>
      </c>
      <c r="J389" s="140"/>
      <c r="K389" s="140"/>
      <c r="L389" s="140"/>
      <c r="M389" s="140">
        <f t="shared" si="100"/>
        <v>3666</v>
      </c>
      <c r="N389" s="140"/>
      <c r="O389" s="140"/>
      <c r="P389" s="140"/>
      <c r="Q389" s="552">
        <v>3666</v>
      </c>
    </row>
    <row r="390" spans="1:17" s="138" customFormat="1" ht="22.5">
      <c r="A390" s="266"/>
      <c r="B390" s="79" t="s">
        <v>107</v>
      </c>
      <c r="C390" s="34"/>
      <c r="D390" s="261">
        <v>4219</v>
      </c>
      <c r="E390" s="140">
        <f t="shared" si="97"/>
        <v>194</v>
      </c>
      <c r="F390" s="140">
        <f>H390</f>
        <v>194</v>
      </c>
      <c r="G390" s="253"/>
      <c r="H390" s="140">
        <f t="shared" si="98"/>
        <v>194</v>
      </c>
      <c r="I390" s="140">
        <f t="shared" si="99"/>
        <v>194</v>
      </c>
      <c r="J390" s="140"/>
      <c r="K390" s="140"/>
      <c r="L390" s="552">
        <v>194</v>
      </c>
      <c r="M390" s="140">
        <f t="shared" si="100"/>
        <v>0</v>
      </c>
      <c r="N390" s="140"/>
      <c r="O390" s="140"/>
      <c r="P390" s="140"/>
      <c r="Q390" s="253"/>
    </row>
    <row r="391" spans="1:17" s="138" customFormat="1" ht="45">
      <c r="A391" s="266"/>
      <c r="B391" s="393" t="s">
        <v>239</v>
      </c>
      <c r="C391" s="34"/>
      <c r="D391" s="261">
        <v>4757</v>
      </c>
      <c r="E391" s="140">
        <f t="shared" si="97"/>
        <v>0</v>
      </c>
      <c r="F391" s="140"/>
      <c r="G391" s="253">
        <f>M391</f>
        <v>0</v>
      </c>
      <c r="H391" s="140">
        <f t="shared" si="98"/>
        <v>0</v>
      </c>
      <c r="I391" s="140">
        <f t="shared" si="99"/>
        <v>0</v>
      </c>
      <c r="J391" s="140"/>
      <c r="K391" s="140"/>
      <c r="L391" s="140"/>
      <c r="M391" s="140">
        <f t="shared" si="100"/>
        <v>0</v>
      </c>
      <c r="N391" s="140"/>
      <c r="O391" s="140"/>
      <c r="P391" s="140"/>
      <c r="Q391" s="253"/>
    </row>
    <row r="392" spans="1:17" s="138" customFormat="1" ht="45">
      <c r="A392" s="266"/>
      <c r="B392" s="393" t="s">
        <v>239</v>
      </c>
      <c r="C392" s="34"/>
      <c r="D392" s="261">
        <v>4759</v>
      </c>
      <c r="E392" s="140">
        <f t="shared" si="97"/>
        <v>0</v>
      </c>
      <c r="F392" s="140">
        <f>H392</f>
        <v>0</v>
      </c>
      <c r="G392" s="253"/>
      <c r="H392" s="140">
        <f t="shared" si="98"/>
        <v>0</v>
      </c>
      <c r="I392" s="140">
        <f t="shared" si="99"/>
        <v>0</v>
      </c>
      <c r="J392" s="140"/>
      <c r="K392" s="140"/>
      <c r="L392" s="140"/>
      <c r="M392" s="140">
        <f t="shared" si="100"/>
        <v>0</v>
      </c>
      <c r="N392" s="140"/>
      <c r="O392" s="140"/>
      <c r="P392" s="140"/>
      <c r="Q392" s="253"/>
    </row>
    <row r="393" spans="1:17" s="138" customFormat="1" ht="22.5">
      <c r="A393" s="266"/>
      <c r="B393" s="79" t="s">
        <v>521</v>
      </c>
      <c r="C393" s="34"/>
      <c r="D393" s="261">
        <v>4307</v>
      </c>
      <c r="E393" s="140">
        <f>F393+G393</f>
        <v>104</v>
      </c>
      <c r="F393" s="140"/>
      <c r="G393" s="253">
        <f>M393</f>
        <v>104</v>
      </c>
      <c r="H393" s="140">
        <f>I393+M393</f>
        <v>104</v>
      </c>
      <c r="I393" s="140">
        <f>SUM(J393:L393)</f>
        <v>0</v>
      </c>
      <c r="J393" s="140"/>
      <c r="K393" s="140"/>
      <c r="L393" s="140"/>
      <c r="M393" s="140">
        <f>SUM(N393:Q393)</f>
        <v>104</v>
      </c>
      <c r="N393" s="140"/>
      <c r="O393" s="140"/>
      <c r="P393" s="140"/>
      <c r="Q393" s="552">
        <v>104</v>
      </c>
    </row>
    <row r="394" spans="1:17" s="138" customFormat="1" ht="22.5">
      <c r="A394" s="266"/>
      <c r="B394" s="79" t="s">
        <v>521</v>
      </c>
      <c r="C394" s="34"/>
      <c r="D394" s="261">
        <v>4309</v>
      </c>
      <c r="E394" s="140">
        <f>F394+G394</f>
        <v>6</v>
      </c>
      <c r="F394" s="140">
        <f>H394</f>
        <v>6</v>
      </c>
      <c r="G394" s="253"/>
      <c r="H394" s="140">
        <f>I394+M394</f>
        <v>6</v>
      </c>
      <c r="I394" s="140">
        <f>SUM(J394:L394)</f>
        <v>6</v>
      </c>
      <c r="J394" s="140"/>
      <c r="K394" s="140"/>
      <c r="L394" s="552">
        <v>6</v>
      </c>
      <c r="M394" s="140">
        <f>SUM(N394:Q394)</f>
        <v>0</v>
      </c>
      <c r="N394" s="140"/>
      <c r="O394" s="140"/>
      <c r="P394" s="140"/>
      <c r="Q394" s="253"/>
    </row>
    <row r="395" spans="1:17" s="138" customFormat="1" ht="22.5">
      <c r="A395" s="266"/>
      <c r="B395" s="79" t="s">
        <v>90</v>
      </c>
      <c r="C395" s="34"/>
      <c r="D395" s="261">
        <v>4307</v>
      </c>
      <c r="E395" s="140">
        <f t="shared" si="97"/>
        <v>107525</v>
      </c>
      <c r="F395" s="140"/>
      <c r="G395" s="253">
        <f>M395</f>
        <v>107525</v>
      </c>
      <c r="H395" s="140">
        <f t="shared" si="98"/>
        <v>107525</v>
      </c>
      <c r="I395" s="140">
        <f t="shared" si="99"/>
        <v>0</v>
      </c>
      <c r="J395" s="140"/>
      <c r="K395" s="140"/>
      <c r="L395" s="140"/>
      <c r="M395" s="140">
        <f t="shared" si="100"/>
        <v>107525</v>
      </c>
      <c r="N395" s="140"/>
      <c r="O395" s="140"/>
      <c r="P395" s="140"/>
      <c r="Q395" s="552">
        <v>107525</v>
      </c>
    </row>
    <row r="396" spans="1:17" s="138" customFormat="1" ht="22.5">
      <c r="A396" s="266"/>
      <c r="B396" s="79" t="s">
        <v>90</v>
      </c>
      <c r="C396" s="34"/>
      <c r="D396" s="261">
        <v>4309</v>
      </c>
      <c r="E396" s="140">
        <f t="shared" si="97"/>
        <v>5692</v>
      </c>
      <c r="F396" s="140">
        <f>H396</f>
        <v>5692</v>
      </c>
      <c r="G396" s="253"/>
      <c r="H396" s="140">
        <f t="shared" si="98"/>
        <v>5692</v>
      </c>
      <c r="I396" s="140">
        <f t="shared" si="99"/>
        <v>5692</v>
      </c>
      <c r="J396" s="140"/>
      <c r="K396" s="140"/>
      <c r="L396" s="552">
        <v>5692</v>
      </c>
      <c r="M396" s="140">
        <f t="shared" si="100"/>
        <v>0</v>
      </c>
      <c r="N396" s="140"/>
      <c r="O396" s="140"/>
      <c r="P396" s="140"/>
      <c r="Q396" s="253"/>
    </row>
    <row r="397" spans="1:17" s="138" customFormat="1" ht="56.25">
      <c r="A397" s="266"/>
      <c r="B397" s="79" t="s">
        <v>245</v>
      </c>
      <c r="C397" s="34"/>
      <c r="D397" s="261">
        <v>4367</v>
      </c>
      <c r="E397" s="140">
        <f t="shared" si="97"/>
        <v>0</v>
      </c>
      <c r="F397" s="140"/>
      <c r="G397" s="253">
        <f>M397</f>
        <v>0</v>
      </c>
      <c r="H397" s="140">
        <f t="shared" si="98"/>
        <v>0</v>
      </c>
      <c r="I397" s="140">
        <f t="shared" si="99"/>
        <v>0</v>
      </c>
      <c r="J397" s="140"/>
      <c r="K397" s="140"/>
      <c r="L397" s="140"/>
      <c r="M397" s="140">
        <f t="shared" si="100"/>
        <v>0</v>
      </c>
      <c r="N397" s="140"/>
      <c r="O397" s="140"/>
      <c r="P397" s="140"/>
      <c r="Q397" s="552"/>
    </row>
    <row r="398" spans="1:17" s="138" customFormat="1" ht="56.25">
      <c r="A398" s="266"/>
      <c r="B398" s="79" t="s">
        <v>245</v>
      </c>
      <c r="C398" s="34"/>
      <c r="D398" s="261">
        <v>4369</v>
      </c>
      <c r="E398" s="140">
        <f t="shared" si="97"/>
        <v>0</v>
      </c>
      <c r="F398" s="140">
        <f>H398</f>
        <v>0</v>
      </c>
      <c r="G398" s="253"/>
      <c r="H398" s="140">
        <f t="shared" si="98"/>
        <v>0</v>
      </c>
      <c r="I398" s="140">
        <f t="shared" si="99"/>
        <v>0</v>
      </c>
      <c r="J398" s="140"/>
      <c r="K398" s="140"/>
      <c r="L398" s="552"/>
      <c r="M398" s="140">
        <f t="shared" si="100"/>
        <v>0</v>
      </c>
      <c r="N398" s="140"/>
      <c r="O398" s="140"/>
      <c r="P398" s="140"/>
      <c r="Q398" s="253"/>
    </row>
    <row r="399" spans="1:17" s="138" customFormat="1" ht="67.5">
      <c r="A399" s="266"/>
      <c r="B399" s="79" t="s">
        <v>199</v>
      </c>
      <c r="C399" s="34"/>
      <c r="D399" s="261">
        <v>4747</v>
      </c>
      <c r="E399" s="140">
        <f t="shared" si="97"/>
        <v>228</v>
      </c>
      <c r="F399" s="140"/>
      <c r="G399" s="253">
        <f>M399</f>
        <v>228</v>
      </c>
      <c r="H399" s="140">
        <f t="shared" si="98"/>
        <v>228</v>
      </c>
      <c r="I399" s="140">
        <f t="shared" si="99"/>
        <v>0</v>
      </c>
      <c r="J399" s="140"/>
      <c r="K399" s="140"/>
      <c r="L399" s="140"/>
      <c r="M399" s="140">
        <f t="shared" si="100"/>
        <v>228</v>
      </c>
      <c r="N399" s="140"/>
      <c r="O399" s="140"/>
      <c r="P399" s="140"/>
      <c r="Q399" s="253">
        <v>228</v>
      </c>
    </row>
    <row r="400" spans="1:17" s="138" customFormat="1" ht="67.5">
      <c r="A400" s="266"/>
      <c r="B400" s="79" t="s">
        <v>199</v>
      </c>
      <c r="C400" s="34"/>
      <c r="D400" s="261">
        <v>4749</v>
      </c>
      <c r="E400" s="140">
        <f t="shared" si="97"/>
        <v>12</v>
      </c>
      <c r="F400" s="140">
        <f>H400</f>
        <v>12</v>
      </c>
      <c r="G400" s="253"/>
      <c r="H400" s="140">
        <f t="shared" si="98"/>
        <v>12</v>
      </c>
      <c r="I400" s="140">
        <f t="shared" si="99"/>
        <v>12</v>
      </c>
      <c r="J400" s="140"/>
      <c r="K400" s="140"/>
      <c r="L400" s="140">
        <v>12</v>
      </c>
      <c r="M400" s="140">
        <f t="shared" si="100"/>
        <v>0</v>
      </c>
      <c r="N400" s="140"/>
      <c r="O400" s="140"/>
      <c r="P400" s="140"/>
      <c r="Q400" s="253"/>
    </row>
    <row r="401" spans="1:17" s="138" customFormat="1" ht="22.5">
      <c r="A401" s="266"/>
      <c r="B401" s="79" t="s">
        <v>572</v>
      </c>
      <c r="C401" s="34"/>
      <c r="D401" s="261">
        <v>3119</v>
      </c>
      <c r="E401" s="140">
        <f>F401+G401</f>
        <v>18455</v>
      </c>
      <c r="F401" s="140">
        <f>H401</f>
        <v>18455</v>
      </c>
      <c r="G401" s="253"/>
      <c r="H401" s="140">
        <f>I401+M401</f>
        <v>18455</v>
      </c>
      <c r="I401" s="140">
        <f>SUM(J401:L401)</f>
        <v>18455</v>
      </c>
      <c r="J401" s="140"/>
      <c r="K401" s="140"/>
      <c r="L401" s="140">
        <v>18455</v>
      </c>
      <c r="M401" s="140">
        <f>SUM(N401:Q401)</f>
        <v>0</v>
      </c>
      <c r="N401" s="140"/>
      <c r="O401" s="140"/>
      <c r="P401" s="140"/>
      <c r="Q401" s="253"/>
    </row>
    <row r="402" spans="1:17" s="138" customFormat="1" ht="33.75">
      <c r="A402" s="266"/>
      <c r="B402" s="79" t="s">
        <v>520</v>
      </c>
      <c r="C402" s="34"/>
      <c r="D402" s="261">
        <v>4047</v>
      </c>
      <c r="E402" s="140">
        <f aca="true" t="shared" si="101" ref="E402:E407">F402+G402</f>
        <v>1102</v>
      </c>
      <c r="F402" s="140">
        <f aca="true" t="shared" si="102" ref="F402:F407">H402</f>
        <v>1102</v>
      </c>
      <c r="G402" s="253"/>
      <c r="H402" s="140">
        <f aca="true" t="shared" si="103" ref="H402:H407">I402+M402</f>
        <v>1102</v>
      </c>
      <c r="I402" s="140">
        <f aca="true" t="shared" si="104" ref="I402:I407">SUM(J402:L402)</f>
        <v>0</v>
      </c>
      <c r="J402" s="140"/>
      <c r="K402" s="140"/>
      <c r="L402" s="140"/>
      <c r="M402" s="140">
        <f aca="true" t="shared" si="105" ref="M402:M407">SUM(N402:Q402)</f>
        <v>1102</v>
      </c>
      <c r="N402" s="140"/>
      <c r="O402" s="140"/>
      <c r="P402" s="140"/>
      <c r="Q402" s="253">
        <v>1102</v>
      </c>
    </row>
    <row r="403" spans="1:17" s="138" customFormat="1" ht="33.75">
      <c r="A403" s="266"/>
      <c r="B403" s="79" t="s">
        <v>520</v>
      </c>
      <c r="C403" s="34"/>
      <c r="D403" s="261">
        <v>4049</v>
      </c>
      <c r="E403" s="140">
        <f t="shared" si="101"/>
        <v>58</v>
      </c>
      <c r="F403" s="140">
        <f t="shared" si="102"/>
        <v>58</v>
      </c>
      <c r="G403" s="253"/>
      <c r="H403" s="140">
        <f t="shared" si="103"/>
        <v>58</v>
      </c>
      <c r="I403" s="140">
        <f t="shared" si="104"/>
        <v>58</v>
      </c>
      <c r="J403" s="140"/>
      <c r="K403" s="140"/>
      <c r="L403" s="140">
        <v>58</v>
      </c>
      <c r="M403" s="140">
        <f t="shared" si="105"/>
        <v>0</v>
      </c>
      <c r="N403" s="140"/>
      <c r="O403" s="140"/>
      <c r="P403" s="140"/>
      <c r="Q403" s="253"/>
    </row>
    <row r="404" spans="1:17" s="138" customFormat="1" ht="12.75">
      <c r="A404" s="266"/>
      <c r="B404" s="79"/>
      <c r="C404" s="34"/>
      <c r="D404" s="261">
        <v>4477</v>
      </c>
      <c r="E404" s="140">
        <f>F404+G404</f>
        <v>627</v>
      </c>
      <c r="F404" s="140">
        <f>H404</f>
        <v>627</v>
      </c>
      <c r="G404" s="253"/>
      <c r="H404" s="140">
        <f>I404+M404</f>
        <v>627</v>
      </c>
      <c r="I404" s="140">
        <f>SUM(J404:L404)</f>
        <v>0</v>
      </c>
      <c r="J404" s="140"/>
      <c r="K404" s="140"/>
      <c r="L404" s="140"/>
      <c r="M404" s="140">
        <f t="shared" si="105"/>
        <v>627</v>
      </c>
      <c r="N404" s="140"/>
      <c r="O404" s="140"/>
      <c r="P404" s="140"/>
      <c r="Q404" s="253">
        <v>627</v>
      </c>
    </row>
    <row r="405" spans="1:17" s="138" customFormat="1" ht="12.75">
      <c r="A405" s="266"/>
      <c r="B405" s="79"/>
      <c r="C405" s="34"/>
      <c r="D405" s="261">
        <v>4779</v>
      </c>
      <c r="E405" s="140">
        <f>F405+G405</f>
        <v>33</v>
      </c>
      <c r="F405" s="140">
        <f>H405</f>
        <v>33</v>
      </c>
      <c r="G405" s="253"/>
      <c r="H405" s="140">
        <f>I405+M405</f>
        <v>33</v>
      </c>
      <c r="I405" s="140">
        <f>SUM(J405:L405)</f>
        <v>33</v>
      </c>
      <c r="J405" s="140"/>
      <c r="K405" s="140"/>
      <c r="L405" s="140">
        <v>33</v>
      </c>
      <c r="M405" s="140"/>
      <c r="N405" s="140"/>
      <c r="O405" s="140"/>
      <c r="P405" s="140"/>
      <c r="Q405" s="253"/>
    </row>
    <row r="406" spans="1:17" s="138" customFormat="1" ht="12.75">
      <c r="A406" s="266"/>
      <c r="B406" s="79"/>
      <c r="C406" s="34"/>
      <c r="D406" s="261">
        <v>4757</v>
      </c>
      <c r="E406" s="140">
        <f t="shared" si="101"/>
        <v>2568</v>
      </c>
      <c r="F406" s="140">
        <f t="shared" si="102"/>
        <v>2568</v>
      </c>
      <c r="G406" s="253"/>
      <c r="H406" s="140">
        <f t="shared" si="103"/>
        <v>2568</v>
      </c>
      <c r="I406" s="140">
        <f t="shared" si="104"/>
        <v>0</v>
      </c>
      <c r="J406" s="140"/>
      <c r="K406" s="140"/>
      <c r="L406" s="140"/>
      <c r="M406" s="140">
        <f t="shared" si="105"/>
        <v>2568</v>
      </c>
      <c r="N406" s="140"/>
      <c r="O406" s="140"/>
      <c r="P406" s="140"/>
      <c r="Q406" s="253">
        <v>2568</v>
      </c>
    </row>
    <row r="407" spans="1:17" s="138" customFormat="1" ht="12.75">
      <c r="A407" s="266"/>
      <c r="B407" s="79"/>
      <c r="C407" s="34"/>
      <c r="D407" s="261">
        <v>4759</v>
      </c>
      <c r="E407" s="140">
        <f t="shared" si="101"/>
        <v>136</v>
      </c>
      <c r="F407" s="140">
        <f t="shared" si="102"/>
        <v>136</v>
      </c>
      <c r="G407" s="253"/>
      <c r="H407" s="140">
        <f t="shared" si="103"/>
        <v>136</v>
      </c>
      <c r="I407" s="140">
        <f t="shared" si="104"/>
        <v>136</v>
      </c>
      <c r="J407" s="140"/>
      <c r="K407" s="140"/>
      <c r="L407" s="140">
        <v>136</v>
      </c>
      <c r="M407" s="140">
        <f t="shared" si="105"/>
        <v>0</v>
      </c>
      <c r="N407" s="140"/>
      <c r="O407" s="140"/>
      <c r="P407" s="140"/>
      <c r="Q407" s="253"/>
    </row>
    <row r="408" spans="1:17" s="138" customFormat="1" ht="22.5">
      <c r="A408" s="266"/>
      <c r="B408" s="397" t="s">
        <v>115</v>
      </c>
      <c r="C408" s="34"/>
      <c r="D408" s="261">
        <v>4417</v>
      </c>
      <c r="E408" s="140">
        <f t="shared" si="97"/>
        <v>665</v>
      </c>
      <c r="F408" s="140"/>
      <c r="G408" s="253">
        <f>M408</f>
        <v>665</v>
      </c>
      <c r="H408" s="140">
        <f t="shared" si="98"/>
        <v>665</v>
      </c>
      <c r="I408" s="140">
        <f t="shared" si="99"/>
        <v>0</v>
      </c>
      <c r="J408" s="140"/>
      <c r="K408" s="140"/>
      <c r="L408" s="140"/>
      <c r="M408" s="140">
        <f t="shared" si="100"/>
        <v>665</v>
      </c>
      <c r="N408" s="140"/>
      <c r="O408" s="140"/>
      <c r="P408" s="140"/>
      <c r="Q408" s="552">
        <v>665</v>
      </c>
    </row>
    <row r="409" spans="1:17" s="138" customFormat="1" ht="22.5">
      <c r="A409" s="266"/>
      <c r="B409" s="397" t="s">
        <v>115</v>
      </c>
      <c r="C409" s="34"/>
      <c r="D409" s="261">
        <v>4419</v>
      </c>
      <c r="E409" s="140">
        <f t="shared" si="97"/>
        <v>35</v>
      </c>
      <c r="F409" s="140">
        <f>H409</f>
        <v>35</v>
      </c>
      <c r="G409" s="253"/>
      <c r="H409" s="140">
        <f t="shared" si="98"/>
        <v>35</v>
      </c>
      <c r="I409" s="140">
        <f t="shared" si="99"/>
        <v>35</v>
      </c>
      <c r="J409" s="140"/>
      <c r="K409" s="140"/>
      <c r="L409" s="552">
        <v>35</v>
      </c>
      <c r="M409" s="140">
        <f t="shared" si="100"/>
        <v>0</v>
      </c>
      <c r="N409" s="140"/>
      <c r="O409" s="140"/>
      <c r="P409" s="140"/>
      <c r="Q409" s="253"/>
    </row>
    <row r="410" spans="1:19" s="139" customFormat="1" ht="11.25">
      <c r="A410" s="554"/>
      <c r="B410" s="663">
        <v>2010</v>
      </c>
      <c r="C410" s="665"/>
      <c r="D410" s="665"/>
      <c r="E410" s="666">
        <f t="shared" si="97"/>
        <v>175766</v>
      </c>
      <c r="F410" s="666">
        <f>SUM(F381:F409)</f>
        <v>30661</v>
      </c>
      <c r="G410" s="666">
        <f>SUM(G381:G409)</f>
        <v>145105</v>
      </c>
      <c r="H410" s="666">
        <f t="shared" si="98"/>
        <v>175766</v>
      </c>
      <c r="I410" s="666">
        <f t="shared" si="99"/>
        <v>26364</v>
      </c>
      <c r="J410" s="666">
        <f>SUM(J381:J409)</f>
        <v>0</v>
      </c>
      <c r="K410" s="666">
        <f>SUM(K381:K409)</f>
        <v>0</v>
      </c>
      <c r="L410" s="666">
        <f>SUM(L381:L409)</f>
        <v>26364</v>
      </c>
      <c r="M410" s="666">
        <f>N410+O410+P410+Q410</f>
        <v>149402</v>
      </c>
      <c r="N410" s="666">
        <f>SUM(N381:N409)</f>
        <v>0</v>
      </c>
      <c r="O410" s="666">
        <f>SUM(O381:O409)</f>
        <v>0</v>
      </c>
      <c r="P410" s="666">
        <f>SUM(P381:P409)</f>
        <v>0</v>
      </c>
      <c r="Q410" s="666">
        <f>SUM(Q381:Q409)</f>
        <v>149402</v>
      </c>
      <c r="S410" s="556"/>
    </row>
    <row r="411" spans="1:19" s="138" customFormat="1" ht="11.25">
      <c r="A411" s="662"/>
      <c r="B411" s="134"/>
      <c r="C411" s="136"/>
      <c r="D411" s="136"/>
      <c r="E411" s="135"/>
      <c r="F411" s="135"/>
      <c r="G411" s="135"/>
      <c r="H411" s="135"/>
      <c r="I411" s="135"/>
      <c r="J411" s="135"/>
      <c r="K411" s="135"/>
      <c r="L411" s="135"/>
      <c r="M411" s="135"/>
      <c r="N411" s="135"/>
      <c r="O411" s="135"/>
      <c r="P411" s="135"/>
      <c r="Q411" s="135"/>
      <c r="S411" s="392"/>
    </row>
    <row r="412" spans="1:19" s="138" customFormat="1" ht="13.5" customHeight="1">
      <c r="A412" s="662"/>
      <c r="B412" s="667" t="s">
        <v>525</v>
      </c>
      <c r="C412" s="765" t="s">
        <v>526</v>
      </c>
      <c r="D412" s="765"/>
      <c r="E412" s="765"/>
      <c r="F412" s="765"/>
      <c r="G412" s="765"/>
      <c r="H412" s="765"/>
      <c r="I412" s="765"/>
      <c r="J412" s="765"/>
      <c r="K412" s="765"/>
      <c r="L412" s="765"/>
      <c r="M412" s="765"/>
      <c r="N412" s="765"/>
      <c r="O412" s="765"/>
      <c r="P412" s="765"/>
      <c r="Q412" s="766"/>
      <c r="S412" s="392"/>
    </row>
    <row r="413" spans="1:19" s="138" customFormat="1" ht="13.5" customHeight="1">
      <c r="A413" s="662"/>
      <c r="B413" s="667" t="s">
        <v>527</v>
      </c>
      <c r="C413" s="669"/>
      <c r="D413" s="767" t="s">
        <v>528</v>
      </c>
      <c r="E413" s="767"/>
      <c r="F413" s="767"/>
      <c r="G413" s="767"/>
      <c r="H413" s="767"/>
      <c r="I413" s="767"/>
      <c r="J413" s="767"/>
      <c r="K413" s="767"/>
      <c r="L413" s="767"/>
      <c r="M413" s="767"/>
      <c r="N413" s="767"/>
      <c r="O413" s="767"/>
      <c r="P413" s="767"/>
      <c r="Q413" s="768"/>
      <c r="S413" s="392"/>
    </row>
    <row r="414" spans="1:19" s="138" customFormat="1" ht="13.5" customHeight="1">
      <c r="A414" s="662"/>
      <c r="B414" s="668" t="s">
        <v>529</v>
      </c>
      <c r="C414" s="765" t="s">
        <v>530</v>
      </c>
      <c r="D414" s="765"/>
      <c r="E414" s="765"/>
      <c r="F414" s="765"/>
      <c r="G414" s="765"/>
      <c r="H414" s="765"/>
      <c r="I414" s="765"/>
      <c r="J414" s="765"/>
      <c r="K414" s="765"/>
      <c r="L414" s="765"/>
      <c r="M414" s="765"/>
      <c r="N414" s="765"/>
      <c r="O414" s="765"/>
      <c r="P414" s="765"/>
      <c r="Q414" s="766"/>
      <c r="S414" s="392"/>
    </row>
    <row r="415" spans="1:17" s="138" customFormat="1" ht="30.75" customHeight="1">
      <c r="A415" s="662"/>
      <c r="B415" s="656" t="s">
        <v>752</v>
      </c>
      <c r="C415" s="670"/>
      <c r="D415" s="670" t="s">
        <v>531</v>
      </c>
      <c r="E415" s="671"/>
      <c r="F415" s="671"/>
      <c r="G415" s="671"/>
      <c r="H415" s="671"/>
      <c r="I415" s="671"/>
      <c r="J415" s="671"/>
      <c r="K415" s="671"/>
      <c r="L415" s="671"/>
      <c r="M415" s="671"/>
      <c r="N415" s="671"/>
      <c r="O415" s="671"/>
      <c r="P415" s="671"/>
      <c r="Q415" s="672"/>
    </row>
    <row r="416" spans="1:17" s="138" customFormat="1" ht="11.25">
      <c r="A416" s="266"/>
      <c r="B416" s="664" t="s">
        <v>753</v>
      </c>
      <c r="C416" s="647"/>
      <c r="D416" s="141" t="s">
        <v>480</v>
      </c>
      <c r="E416" s="673">
        <f>E446+E447+E448+E449</f>
        <v>3320220</v>
      </c>
      <c r="F416" s="673">
        <f aca="true" t="shared" si="106" ref="F416:Q416">F446+F447+F448+F449</f>
        <v>2841431</v>
      </c>
      <c r="G416" s="673">
        <f t="shared" si="106"/>
        <v>478789</v>
      </c>
      <c r="H416" s="673">
        <f t="shared" si="106"/>
        <v>3320220</v>
      </c>
      <c r="I416" s="673">
        <f t="shared" si="106"/>
        <v>498031</v>
      </c>
      <c r="J416" s="673">
        <f t="shared" si="106"/>
        <v>0</v>
      </c>
      <c r="K416" s="673">
        <f t="shared" si="106"/>
        <v>0</v>
      </c>
      <c r="L416" s="673">
        <f t="shared" si="106"/>
        <v>498031</v>
      </c>
      <c r="M416" s="673">
        <f t="shared" si="106"/>
        <v>2822189</v>
      </c>
      <c r="N416" s="673">
        <f t="shared" si="106"/>
        <v>0</v>
      </c>
      <c r="O416" s="673">
        <f t="shared" si="106"/>
        <v>0</v>
      </c>
      <c r="P416" s="673">
        <f t="shared" si="106"/>
        <v>0</v>
      </c>
      <c r="Q416" s="673">
        <f t="shared" si="106"/>
        <v>2822189</v>
      </c>
    </row>
    <row r="417" spans="1:17" s="138" customFormat="1" ht="33.75">
      <c r="A417" s="266"/>
      <c r="B417" s="79" t="s">
        <v>234</v>
      </c>
      <c r="C417" s="640"/>
      <c r="D417" s="643">
        <v>4117</v>
      </c>
      <c r="E417" s="140">
        <f aca="true" t="shared" si="107" ref="E417:E446">F417+G417</f>
        <v>13124</v>
      </c>
      <c r="F417" s="140"/>
      <c r="G417" s="641">
        <f>Q417</f>
        <v>13124</v>
      </c>
      <c r="H417" s="140">
        <f aca="true" t="shared" si="108" ref="H417:H446">I417+M417</f>
        <v>13124</v>
      </c>
      <c r="I417" s="140">
        <f aca="true" t="shared" si="109" ref="I417:I446">SUM(J417:L417)</f>
        <v>0</v>
      </c>
      <c r="J417" s="140"/>
      <c r="K417" s="140"/>
      <c r="L417" s="140"/>
      <c r="M417" s="140">
        <f aca="true" t="shared" si="110" ref="M417:M440">SUM(N417:Q417)</f>
        <v>13124</v>
      </c>
      <c r="N417" s="140"/>
      <c r="O417" s="140"/>
      <c r="P417" s="140"/>
      <c r="Q417" s="644">
        <v>13124</v>
      </c>
    </row>
    <row r="418" spans="1:17" s="138" customFormat="1" ht="33.75">
      <c r="A418" s="266"/>
      <c r="B418" s="79" t="s">
        <v>234</v>
      </c>
      <c r="C418" s="34"/>
      <c r="D418" s="261">
        <v>4119</v>
      </c>
      <c r="E418" s="140">
        <f t="shared" si="107"/>
        <v>2315</v>
      </c>
      <c r="F418" s="140">
        <f>L418</f>
        <v>2315</v>
      </c>
      <c r="G418" s="253"/>
      <c r="H418" s="140">
        <f t="shared" si="108"/>
        <v>2315</v>
      </c>
      <c r="I418" s="140">
        <f t="shared" si="109"/>
        <v>2315</v>
      </c>
      <c r="J418" s="140"/>
      <c r="K418" s="140"/>
      <c r="L418" s="552">
        <v>2315</v>
      </c>
      <c r="M418" s="140">
        <f t="shared" si="110"/>
        <v>0</v>
      </c>
      <c r="N418" s="140"/>
      <c r="O418" s="140"/>
      <c r="P418" s="140"/>
      <c r="Q418" s="253"/>
    </row>
    <row r="419" spans="1:17" s="138" customFormat="1" ht="22.5">
      <c r="A419" s="266"/>
      <c r="B419" s="79" t="s">
        <v>236</v>
      </c>
      <c r="C419" s="34"/>
      <c r="D419" s="261">
        <v>4127</v>
      </c>
      <c r="E419" s="140">
        <f t="shared" si="107"/>
        <v>2130</v>
      </c>
      <c r="F419" s="140"/>
      <c r="G419" s="253">
        <f>Q419</f>
        <v>2130</v>
      </c>
      <c r="H419" s="140">
        <f t="shared" si="108"/>
        <v>2130</v>
      </c>
      <c r="I419" s="140">
        <f t="shared" si="109"/>
        <v>0</v>
      </c>
      <c r="J419" s="140"/>
      <c r="K419" s="140"/>
      <c r="L419" s="140"/>
      <c r="M419" s="140">
        <f t="shared" si="110"/>
        <v>2130</v>
      </c>
      <c r="N419" s="140"/>
      <c r="O419" s="140"/>
      <c r="P419" s="140"/>
      <c r="Q419" s="552">
        <v>2130</v>
      </c>
    </row>
    <row r="420" spans="1:17" s="138" customFormat="1" ht="22.5">
      <c r="A420" s="266"/>
      <c r="B420" s="79" t="s">
        <v>236</v>
      </c>
      <c r="C420" s="34"/>
      <c r="D420" s="261">
        <v>4129</v>
      </c>
      <c r="E420" s="140">
        <f t="shared" si="107"/>
        <v>375</v>
      </c>
      <c r="F420" s="140">
        <f>L420</f>
        <v>375</v>
      </c>
      <c r="G420" s="253"/>
      <c r="H420" s="140">
        <f t="shared" si="108"/>
        <v>375</v>
      </c>
      <c r="I420" s="140">
        <f t="shared" si="109"/>
        <v>375</v>
      </c>
      <c r="J420" s="140"/>
      <c r="K420" s="140"/>
      <c r="L420" s="552">
        <v>375</v>
      </c>
      <c r="M420" s="140">
        <f t="shared" si="110"/>
        <v>0</v>
      </c>
      <c r="N420" s="140"/>
      <c r="O420" s="140"/>
      <c r="P420" s="140"/>
      <c r="Q420" s="253"/>
    </row>
    <row r="421" spans="1:17" s="138" customFormat="1" ht="33.75">
      <c r="A421" s="266"/>
      <c r="B421" s="79" t="s">
        <v>570</v>
      </c>
      <c r="C421" s="34"/>
      <c r="D421" s="261">
        <v>4017</v>
      </c>
      <c r="E421" s="140">
        <f t="shared" si="107"/>
        <v>30371</v>
      </c>
      <c r="F421" s="140"/>
      <c r="G421" s="253">
        <f>M421</f>
        <v>30371</v>
      </c>
      <c r="H421" s="140">
        <f t="shared" si="108"/>
        <v>30371</v>
      </c>
      <c r="I421" s="140">
        <f t="shared" si="109"/>
        <v>0</v>
      </c>
      <c r="J421" s="140"/>
      <c r="K421" s="140"/>
      <c r="L421" s="140"/>
      <c r="M421" s="140">
        <f t="shared" si="110"/>
        <v>30371</v>
      </c>
      <c r="N421" s="140"/>
      <c r="O421" s="140"/>
      <c r="P421" s="140"/>
      <c r="Q421" s="552">
        <v>30371</v>
      </c>
    </row>
    <row r="422" spans="1:17" s="138" customFormat="1" ht="33.75">
      <c r="A422" s="266"/>
      <c r="B422" s="79" t="s">
        <v>570</v>
      </c>
      <c r="C422" s="34"/>
      <c r="D422" s="261">
        <v>4019</v>
      </c>
      <c r="E422" s="140">
        <f t="shared" si="107"/>
        <v>5360</v>
      </c>
      <c r="F422" s="140">
        <f>I422</f>
        <v>5360</v>
      </c>
      <c r="G422" s="253"/>
      <c r="H422" s="140">
        <f t="shared" si="108"/>
        <v>5360</v>
      </c>
      <c r="I422" s="140">
        <f t="shared" si="109"/>
        <v>5360</v>
      </c>
      <c r="J422" s="140"/>
      <c r="K422" s="140"/>
      <c r="L422" s="552">
        <v>5360</v>
      </c>
      <c r="M422" s="140">
        <f t="shared" si="110"/>
        <v>0</v>
      </c>
      <c r="N422" s="140"/>
      <c r="O422" s="140"/>
      <c r="P422" s="140"/>
      <c r="Q422" s="253"/>
    </row>
    <row r="423" spans="1:17" s="138" customFormat="1" ht="22.5">
      <c r="A423" s="266"/>
      <c r="B423" s="79" t="s">
        <v>196</v>
      </c>
      <c r="C423" s="34"/>
      <c r="D423" s="261">
        <v>4178</v>
      </c>
      <c r="E423" s="140">
        <f t="shared" si="107"/>
        <v>282629</v>
      </c>
      <c r="F423" s="140"/>
      <c r="G423" s="253">
        <f>M423</f>
        <v>282629</v>
      </c>
      <c r="H423" s="140">
        <f t="shared" si="108"/>
        <v>282629</v>
      </c>
      <c r="I423" s="140">
        <f t="shared" si="109"/>
        <v>0</v>
      </c>
      <c r="J423" s="140"/>
      <c r="K423" s="140"/>
      <c r="L423" s="140"/>
      <c r="M423" s="140">
        <f t="shared" si="110"/>
        <v>282629</v>
      </c>
      <c r="N423" s="140"/>
      <c r="O423" s="140"/>
      <c r="P423" s="140"/>
      <c r="Q423" s="552">
        <v>282629</v>
      </c>
    </row>
    <row r="424" spans="1:17" s="138" customFormat="1" ht="22.5">
      <c r="A424" s="266"/>
      <c r="B424" s="79" t="s">
        <v>196</v>
      </c>
      <c r="C424" s="34"/>
      <c r="D424" s="261">
        <v>4179</v>
      </c>
      <c r="E424" s="140">
        <f t="shared" si="107"/>
        <v>49876</v>
      </c>
      <c r="F424" s="140">
        <f>I424</f>
        <v>49876</v>
      </c>
      <c r="G424" s="253"/>
      <c r="H424" s="140">
        <f t="shared" si="108"/>
        <v>49876</v>
      </c>
      <c r="I424" s="140">
        <f t="shared" si="109"/>
        <v>49876</v>
      </c>
      <c r="J424" s="140"/>
      <c r="K424" s="140"/>
      <c r="L424" s="552">
        <v>49876</v>
      </c>
      <c r="M424" s="140">
        <f t="shared" si="110"/>
        <v>0</v>
      </c>
      <c r="N424" s="140"/>
      <c r="O424" s="140"/>
      <c r="P424" s="140"/>
      <c r="Q424" s="253"/>
    </row>
    <row r="425" spans="1:17" s="138" customFormat="1" ht="22.5">
      <c r="A425" s="266"/>
      <c r="B425" s="79" t="s">
        <v>107</v>
      </c>
      <c r="C425" s="34"/>
      <c r="D425" s="261">
        <v>4217</v>
      </c>
      <c r="E425" s="140">
        <f t="shared" si="107"/>
        <v>56780</v>
      </c>
      <c r="F425" s="140"/>
      <c r="G425" s="253">
        <f>M425</f>
        <v>56780</v>
      </c>
      <c r="H425" s="140">
        <f t="shared" si="108"/>
        <v>56780</v>
      </c>
      <c r="I425" s="140">
        <f t="shared" si="109"/>
        <v>0</v>
      </c>
      <c r="J425" s="140"/>
      <c r="K425" s="140"/>
      <c r="L425" s="140"/>
      <c r="M425" s="140">
        <f t="shared" si="110"/>
        <v>56780</v>
      </c>
      <c r="N425" s="140"/>
      <c r="O425" s="140"/>
      <c r="P425" s="140"/>
      <c r="Q425" s="552">
        <v>56780</v>
      </c>
    </row>
    <row r="426" spans="1:17" s="138" customFormat="1" ht="22.5">
      <c r="A426" s="266"/>
      <c r="B426" s="79" t="s">
        <v>107</v>
      </c>
      <c r="C426" s="34"/>
      <c r="D426" s="261">
        <v>4219</v>
      </c>
      <c r="E426" s="140">
        <f t="shared" si="107"/>
        <v>10020</v>
      </c>
      <c r="F426" s="140">
        <f>H426</f>
        <v>10020</v>
      </c>
      <c r="G426" s="253"/>
      <c r="H426" s="140">
        <f t="shared" si="108"/>
        <v>10020</v>
      </c>
      <c r="I426" s="140">
        <f t="shared" si="109"/>
        <v>10020</v>
      </c>
      <c r="J426" s="140"/>
      <c r="K426" s="140"/>
      <c r="L426" s="552">
        <v>10020</v>
      </c>
      <c r="M426" s="140">
        <f t="shared" si="110"/>
        <v>0</v>
      </c>
      <c r="N426" s="140"/>
      <c r="O426" s="140"/>
      <c r="P426" s="140"/>
      <c r="Q426" s="253"/>
    </row>
    <row r="427" spans="1:17" s="138" customFormat="1" ht="45">
      <c r="A427" s="266"/>
      <c r="B427" s="393" t="s">
        <v>239</v>
      </c>
      <c r="C427" s="34"/>
      <c r="D427" s="261">
        <v>4757</v>
      </c>
      <c r="E427" s="140">
        <f t="shared" si="107"/>
        <v>0</v>
      </c>
      <c r="F427" s="140"/>
      <c r="G427" s="253">
        <f>M427</f>
        <v>0</v>
      </c>
      <c r="H427" s="140">
        <f t="shared" si="108"/>
        <v>0</v>
      </c>
      <c r="I427" s="140">
        <f t="shared" si="109"/>
        <v>0</v>
      </c>
      <c r="J427" s="140"/>
      <c r="K427" s="140"/>
      <c r="L427" s="140"/>
      <c r="M427" s="140">
        <f t="shared" si="110"/>
        <v>0</v>
      </c>
      <c r="N427" s="140"/>
      <c r="O427" s="140"/>
      <c r="P427" s="140"/>
      <c r="Q427" s="253"/>
    </row>
    <row r="428" spans="1:17" s="138" customFormat="1" ht="45">
      <c r="A428" s="266"/>
      <c r="B428" s="393" t="s">
        <v>239</v>
      </c>
      <c r="C428" s="34"/>
      <c r="D428" s="261">
        <v>4759</v>
      </c>
      <c r="E428" s="140">
        <f t="shared" si="107"/>
        <v>0</v>
      </c>
      <c r="F428" s="140">
        <f>H428</f>
        <v>0</v>
      </c>
      <c r="G428" s="253"/>
      <c r="H428" s="140">
        <f t="shared" si="108"/>
        <v>0</v>
      </c>
      <c r="I428" s="140">
        <f t="shared" si="109"/>
        <v>0</v>
      </c>
      <c r="J428" s="140"/>
      <c r="K428" s="140"/>
      <c r="L428" s="140"/>
      <c r="M428" s="140">
        <f t="shared" si="110"/>
        <v>0</v>
      </c>
      <c r="N428" s="140"/>
      <c r="O428" s="140"/>
      <c r="P428" s="140"/>
      <c r="Q428" s="253"/>
    </row>
    <row r="429" spans="1:17" s="138" customFormat="1" ht="22.5">
      <c r="A429" s="266"/>
      <c r="B429" s="79" t="s">
        <v>521</v>
      </c>
      <c r="C429" s="34"/>
      <c r="D429" s="261">
        <v>4307</v>
      </c>
      <c r="E429" s="140">
        <f t="shared" si="107"/>
        <v>0</v>
      </c>
      <c r="F429" s="140"/>
      <c r="G429" s="253">
        <f>M429</f>
        <v>0</v>
      </c>
      <c r="H429" s="140">
        <f t="shared" si="108"/>
        <v>0</v>
      </c>
      <c r="I429" s="140">
        <f t="shared" si="109"/>
        <v>0</v>
      </c>
      <c r="J429" s="140"/>
      <c r="K429" s="140"/>
      <c r="L429" s="140"/>
      <c r="M429" s="140">
        <f t="shared" si="110"/>
        <v>0</v>
      </c>
      <c r="N429" s="140"/>
      <c r="O429" s="140"/>
      <c r="P429" s="140"/>
      <c r="Q429" s="552"/>
    </row>
    <row r="430" spans="1:17" s="138" customFormat="1" ht="22.5">
      <c r="A430" s="266"/>
      <c r="B430" s="79" t="s">
        <v>521</v>
      </c>
      <c r="C430" s="34"/>
      <c r="D430" s="261">
        <v>4309</v>
      </c>
      <c r="E430" s="140">
        <f t="shared" si="107"/>
        <v>0</v>
      </c>
      <c r="F430" s="140">
        <f>H430</f>
        <v>0</v>
      </c>
      <c r="G430" s="253"/>
      <c r="H430" s="140">
        <f t="shared" si="108"/>
        <v>0</v>
      </c>
      <c r="I430" s="140">
        <f t="shared" si="109"/>
        <v>0</v>
      </c>
      <c r="J430" s="140"/>
      <c r="K430" s="140"/>
      <c r="L430" s="552"/>
      <c r="M430" s="140">
        <f t="shared" si="110"/>
        <v>0</v>
      </c>
      <c r="N430" s="140"/>
      <c r="O430" s="140"/>
      <c r="P430" s="140"/>
      <c r="Q430" s="253"/>
    </row>
    <row r="431" spans="1:17" s="138" customFormat="1" ht="22.5">
      <c r="A431" s="266"/>
      <c r="B431" s="79" t="s">
        <v>90</v>
      </c>
      <c r="C431" s="34"/>
      <c r="D431" s="261">
        <v>4307</v>
      </c>
      <c r="E431" s="140">
        <f t="shared" si="107"/>
        <v>83555</v>
      </c>
      <c r="F431" s="140"/>
      <c r="G431" s="253">
        <f>M431</f>
        <v>83555</v>
      </c>
      <c r="H431" s="140">
        <f t="shared" si="108"/>
        <v>83555</v>
      </c>
      <c r="I431" s="140">
        <f t="shared" si="109"/>
        <v>0</v>
      </c>
      <c r="J431" s="140"/>
      <c r="K431" s="140"/>
      <c r="L431" s="140"/>
      <c r="M431" s="140">
        <f t="shared" si="110"/>
        <v>83555</v>
      </c>
      <c r="N431" s="140"/>
      <c r="O431" s="140"/>
      <c r="P431" s="140"/>
      <c r="Q431" s="552">
        <v>83555</v>
      </c>
    </row>
    <row r="432" spans="1:17" s="138" customFormat="1" ht="22.5">
      <c r="A432" s="266"/>
      <c r="B432" s="79" t="s">
        <v>90</v>
      </c>
      <c r="C432" s="34"/>
      <c r="D432" s="261">
        <v>4309</v>
      </c>
      <c r="E432" s="140">
        <f t="shared" si="107"/>
        <v>14745</v>
      </c>
      <c r="F432" s="140">
        <f>H432</f>
        <v>14745</v>
      </c>
      <c r="G432" s="253"/>
      <c r="H432" s="140">
        <f t="shared" si="108"/>
        <v>14745</v>
      </c>
      <c r="I432" s="140">
        <f t="shared" si="109"/>
        <v>14745</v>
      </c>
      <c r="J432" s="140"/>
      <c r="K432" s="140"/>
      <c r="L432" s="552">
        <v>14745</v>
      </c>
      <c r="M432" s="140">
        <f t="shared" si="110"/>
        <v>0</v>
      </c>
      <c r="N432" s="140"/>
      <c r="O432" s="140"/>
      <c r="P432" s="140"/>
      <c r="Q432" s="253"/>
    </row>
    <row r="433" spans="1:17" s="138" customFormat="1" ht="56.25">
      <c r="A433" s="266"/>
      <c r="B433" s="79" t="s">
        <v>245</v>
      </c>
      <c r="C433" s="34"/>
      <c r="D433" s="261">
        <v>4367</v>
      </c>
      <c r="E433" s="140">
        <f t="shared" si="107"/>
        <v>0</v>
      </c>
      <c r="F433" s="140"/>
      <c r="G433" s="253">
        <f>M433</f>
        <v>0</v>
      </c>
      <c r="H433" s="140">
        <f t="shared" si="108"/>
        <v>0</v>
      </c>
      <c r="I433" s="140">
        <f t="shared" si="109"/>
        <v>0</v>
      </c>
      <c r="J433" s="140"/>
      <c r="K433" s="140"/>
      <c r="L433" s="140"/>
      <c r="M433" s="140">
        <f t="shared" si="110"/>
        <v>0</v>
      </c>
      <c r="N433" s="140"/>
      <c r="O433" s="140"/>
      <c r="P433" s="140"/>
      <c r="Q433" s="552"/>
    </row>
    <row r="434" spans="1:17" s="138" customFormat="1" ht="56.25">
      <c r="A434" s="266"/>
      <c r="B434" s="79" t="s">
        <v>245</v>
      </c>
      <c r="C434" s="34"/>
      <c r="D434" s="261">
        <v>4369</v>
      </c>
      <c r="E434" s="140">
        <f t="shared" si="107"/>
        <v>0</v>
      </c>
      <c r="F434" s="140">
        <f>H434</f>
        <v>0</v>
      </c>
      <c r="G434" s="253"/>
      <c r="H434" s="140">
        <f t="shared" si="108"/>
        <v>0</v>
      </c>
      <c r="I434" s="140">
        <f t="shared" si="109"/>
        <v>0</v>
      </c>
      <c r="J434" s="140"/>
      <c r="K434" s="140"/>
      <c r="L434" s="552"/>
      <c r="M434" s="140">
        <f t="shared" si="110"/>
        <v>0</v>
      </c>
      <c r="N434" s="140"/>
      <c r="O434" s="140"/>
      <c r="P434" s="140"/>
      <c r="Q434" s="253"/>
    </row>
    <row r="435" spans="1:17" s="138" customFormat="1" ht="67.5">
      <c r="A435" s="266"/>
      <c r="B435" s="79" t="s">
        <v>199</v>
      </c>
      <c r="C435" s="34"/>
      <c r="D435" s="261">
        <v>4747</v>
      </c>
      <c r="E435" s="140">
        <f t="shared" si="107"/>
        <v>8500</v>
      </c>
      <c r="F435" s="140"/>
      <c r="G435" s="253">
        <f>M435</f>
        <v>8500</v>
      </c>
      <c r="H435" s="140">
        <f t="shared" si="108"/>
        <v>8500</v>
      </c>
      <c r="I435" s="140">
        <f t="shared" si="109"/>
        <v>0</v>
      </c>
      <c r="J435" s="140"/>
      <c r="K435" s="140"/>
      <c r="L435" s="140"/>
      <c r="M435" s="140">
        <f t="shared" si="110"/>
        <v>8500</v>
      </c>
      <c r="N435" s="140"/>
      <c r="O435" s="140"/>
      <c r="P435" s="140"/>
      <c r="Q435" s="253">
        <v>8500</v>
      </c>
    </row>
    <row r="436" spans="1:17" s="138" customFormat="1" ht="67.5">
      <c r="A436" s="266"/>
      <c r="B436" s="79" t="s">
        <v>199</v>
      </c>
      <c r="C436" s="34"/>
      <c r="D436" s="261">
        <v>4749</v>
      </c>
      <c r="E436" s="140">
        <f t="shared" si="107"/>
        <v>1500</v>
      </c>
      <c r="F436" s="140">
        <f>H436</f>
        <v>1500</v>
      </c>
      <c r="G436" s="253"/>
      <c r="H436" s="140">
        <f t="shared" si="108"/>
        <v>1500</v>
      </c>
      <c r="I436" s="140">
        <f t="shared" si="109"/>
        <v>1500</v>
      </c>
      <c r="J436" s="140"/>
      <c r="K436" s="140"/>
      <c r="L436" s="140">
        <v>1500</v>
      </c>
      <c r="M436" s="140">
        <f t="shared" si="110"/>
        <v>0</v>
      </c>
      <c r="N436" s="140"/>
      <c r="O436" s="140"/>
      <c r="P436" s="140"/>
      <c r="Q436" s="253"/>
    </row>
    <row r="437" spans="1:17" s="138" customFormat="1" ht="22.5">
      <c r="A437" s="266"/>
      <c r="B437" s="79" t="s">
        <v>572</v>
      </c>
      <c r="C437" s="34"/>
      <c r="D437" s="261">
        <v>3119</v>
      </c>
      <c r="E437" s="140">
        <f t="shared" si="107"/>
        <v>0</v>
      </c>
      <c r="F437" s="140">
        <f>H437</f>
        <v>0</v>
      </c>
      <c r="G437" s="253"/>
      <c r="H437" s="140">
        <f t="shared" si="108"/>
        <v>0</v>
      </c>
      <c r="I437" s="140">
        <f t="shared" si="109"/>
        <v>0</v>
      </c>
      <c r="J437" s="140"/>
      <c r="K437" s="140"/>
      <c r="L437" s="140"/>
      <c r="M437" s="140">
        <f t="shared" si="110"/>
        <v>0</v>
      </c>
      <c r="N437" s="140"/>
      <c r="O437" s="140"/>
      <c r="P437" s="140"/>
      <c r="Q437" s="253"/>
    </row>
    <row r="438" spans="1:17" s="138" customFormat="1" ht="33.75">
      <c r="A438" s="266"/>
      <c r="B438" s="79" t="s">
        <v>520</v>
      </c>
      <c r="C438" s="34"/>
      <c r="D438" s="261">
        <v>4047</v>
      </c>
      <c r="E438" s="140">
        <f t="shared" si="107"/>
        <v>0</v>
      </c>
      <c r="F438" s="140">
        <f aca="true" t="shared" si="111" ref="F438:F443">H438</f>
        <v>0</v>
      </c>
      <c r="G438" s="253"/>
      <c r="H438" s="140">
        <f t="shared" si="108"/>
        <v>0</v>
      </c>
      <c r="I438" s="140">
        <f t="shared" si="109"/>
        <v>0</v>
      </c>
      <c r="J438" s="140"/>
      <c r="K438" s="140"/>
      <c r="L438" s="140"/>
      <c r="M438" s="140">
        <f t="shared" si="110"/>
        <v>0</v>
      </c>
      <c r="N438" s="140"/>
      <c r="O438" s="140"/>
      <c r="P438" s="140"/>
      <c r="Q438" s="253"/>
    </row>
    <row r="439" spans="1:17" s="138" customFormat="1" ht="33.75">
      <c r="A439" s="266"/>
      <c r="B439" s="79" t="s">
        <v>520</v>
      </c>
      <c r="C439" s="34"/>
      <c r="D439" s="261">
        <v>4049</v>
      </c>
      <c r="E439" s="140">
        <f t="shared" si="107"/>
        <v>0</v>
      </c>
      <c r="F439" s="140">
        <f t="shared" si="111"/>
        <v>0</v>
      </c>
      <c r="G439" s="253"/>
      <c r="H439" s="140">
        <f t="shared" si="108"/>
        <v>0</v>
      </c>
      <c r="I439" s="140">
        <f t="shared" si="109"/>
        <v>0</v>
      </c>
      <c r="J439" s="140"/>
      <c r="K439" s="140"/>
      <c r="L439" s="140"/>
      <c r="M439" s="140">
        <f t="shared" si="110"/>
        <v>0</v>
      </c>
      <c r="N439" s="140"/>
      <c r="O439" s="140"/>
      <c r="P439" s="140"/>
      <c r="Q439" s="253"/>
    </row>
    <row r="440" spans="1:17" s="138" customFormat="1" ht="12.75">
      <c r="A440" s="266"/>
      <c r="B440" s="79"/>
      <c r="C440" s="34"/>
      <c r="D440" s="261">
        <v>4377</v>
      </c>
      <c r="E440" s="140">
        <f t="shared" si="107"/>
        <v>1700</v>
      </c>
      <c r="F440" s="140">
        <f t="shared" si="111"/>
        <v>1700</v>
      </c>
      <c r="G440" s="253"/>
      <c r="H440" s="140">
        <f t="shared" si="108"/>
        <v>1700</v>
      </c>
      <c r="I440" s="140">
        <f t="shared" si="109"/>
        <v>0</v>
      </c>
      <c r="J440" s="140"/>
      <c r="K440" s="140"/>
      <c r="L440" s="140"/>
      <c r="M440" s="140">
        <f t="shared" si="110"/>
        <v>1700</v>
      </c>
      <c r="N440" s="140"/>
      <c r="O440" s="140"/>
      <c r="P440" s="140"/>
      <c r="Q440" s="253">
        <v>1700</v>
      </c>
    </row>
    <row r="441" spans="1:17" s="138" customFormat="1" ht="12.75">
      <c r="A441" s="266"/>
      <c r="B441" s="79"/>
      <c r="C441" s="34"/>
      <c r="D441" s="261">
        <v>4379</v>
      </c>
      <c r="E441" s="140">
        <f t="shared" si="107"/>
        <v>300</v>
      </c>
      <c r="F441" s="140">
        <f t="shared" si="111"/>
        <v>300</v>
      </c>
      <c r="G441" s="253"/>
      <c r="H441" s="140">
        <f t="shared" si="108"/>
        <v>300</v>
      </c>
      <c r="I441" s="140">
        <f t="shared" si="109"/>
        <v>300</v>
      </c>
      <c r="J441" s="140"/>
      <c r="K441" s="140"/>
      <c r="L441" s="140">
        <v>300</v>
      </c>
      <c r="M441" s="140"/>
      <c r="N441" s="140"/>
      <c r="O441" s="140"/>
      <c r="P441" s="140"/>
      <c r="Q441" s="253"/>
    </row>
    <row r="442" spans="1:17" s="138" customFormat="1" ht="12.75">
      <c r="A442" s="266"/>
      <c r="B442" s="79"/>
      <c r="C442" s="34"/>
      <c r="D442" s="261">
        <v>4757</v>
      </c>
      <c r="E442" s="140">
        <f t="shared" si="107"/>
        <v>7727</v>
      </c>
      <c r="F442" s="140">
        <f t="shared" si="111"/>
        <v>7727</v>
      </c>
      <c r="G442" s="253"/>
      <c r="H442" s="140">
        <f t="shared" si="108"/>
        <v>7727</v>
      </c>
      <c r="I442" s="140">
        <f t="shared" si="109"/>
        <v>0</v>
      </c>
      <c r="J442" s="140"/>
      <c r="K442" s="140"/>
      <c r="L442" s="140"/>
      <c r="M442" s="140">
        <f>SUM(N442:Q442)</f>
        <v>7727</v>
      </c>
      <c r="N442" s="140"/>
      <c r="O442" s="140"/>
      <c r="P442" s="140"/>
      <c r="Q442" s="253">
        <v>7727</v>
      </c>
    </row>
    <row r="443" spans="1:17" s="138" customFormat="1" ht="12.75">
      <c r="A443" s="266"/>
      <c r="B443" s="79"/>
      <c r="C443" s="34"/>
      <c r="D443" s="261">
        <v>4759</v>
      </c>
      <c r="E443" s="140">
        <f t="shared" si="107"/>
        <v>1363</v>
      </c>
      <c r="F443" s="140">
        <f t="shared" si="111"/>
        <v>1363</v>
      </c>
      <c r="G443" s="253"/>
      <c r="H443" s="140">
        <f t="shared" si="108"/>
        <v>1363</v>
      </c>
      <c r="I443" s="140">
        <f t="shared" si="109"/>
        <v>1363</v>
      </c>
      <c r="J443" s="140"/>
      <c r="K443" s="140"/>
      <c r="L443" s="140">
        <v>1363</v>
      </c>
      <c r="M443" s="140">
        <f>SUM(N443:Q443)</f>
        <v>0</v>
      </c>
      <c r="N443" s="140"/>
      <c r="O443" s="140"/>
      <c r="P443" s="140"/>
      <c r="Q443" s="253"/>
    </row>
    <row r="444" spans="1:17" s="138" customFormat="1" ht="22.5">
      <c r="A444" s="266"/>
      <c r="B444" s="397" t="s">
        <v>115</v>
      </c>
      <c r="C444" s="34"/>
      <c r="D444" s="261">
        <v>4417</v>
      </c>
      <c r="E444" s="140">
        <f t="shared" si="107"/>
        <v>1700</v>
      </c>
      <c r="F444" s="140"/>
      <c r="G444" s="253">
        <f>M444</f>
        <v>1700</v>
      </c>
      <c r="H444" s="140">
        <f t="shared" si="108"/>
        <v>1700</v>
      </c>
      <c r="I444" s="140">
        <f t="shared" si="109"/>
        <v>0</v>
      </c>
      <c r="J444" s="140"/>
      <c r="K444" s="140"/>
      <c r="L444" s="140"/>
      <c r="M444" s="140">
        <f>SUM(N444:Q444)</f>
        <v>1700</v>
      </c>
      <c r="N444" s="140"/>
      <c r="O444" s="140"/>
      <c r="P444" s="140"/>
      <c r="Q444" s="552">
        <v>1700</v>
      </c>
    </row>
    <row r="445" spans="1:17" s="138" customFormat="1" ht="22.5">
      <c r="A445" s="266"/>
      <c r="B445" s="397" t="s">
        <v>115</v>
      </c>
      <c r="C445" s="34"/>
      <c r="D445" s="261">
        <v>4419</v>
      </c>
      <c r="E445" s="140">
        <f t="shared" si="107"/>
        <v>300</v>
      </c>
      <c r="F445" s="140">
        <f>H445</f>
        <v>300</v>
      </c>
      <c r="G445" s="253"/>
      <c r="H445" s="140">
        <f t="shared" si="108"/>
        <v>300</v>
      </c>
      <c r="I445" s="140">
        <f t="shared" si="109"/>
        <v>300</v>
      </c>
      <c r="J445" s="140"/>
      <c r="K445" s="140"/>
      <c r="L445" s="552">
        <v>300</v>
      </c>
      <c r="M445" s="140">
        <f>SUM(N445:Q445)</f>
        <v>0</v>
      </c>
      <c r="N445" s="140"/>
      <c r="O445" s="140"/>
      <c r="P445" s="140"/>
      <c r="Q445" s="253"/>
    </row>
    <row r="446" spans="1:19" s="139" customFormat="1" ht="11.25">
      <c r="A446" s="554"/>
      <c r="B446" s="278">
        <v>2010</v>
      </c>
      <c r="C446" s="555"/>
      <c r="D446" s="555"/>
      <c r="E446" s="137">
        <f t="shared" si="107"/>
        <v>574370</v>
      </c>
      <c r="F446" s="137">
        <f>SUM(F417:F445)</f>
        <v>95581</v>
      </c>
      <c r="G446" s="137">
        <f>SUM(G417:G445)</f>
        <v>478789</v>
      </c>
      <c r="H446" s="137">
        <f t="shared" si="108"/>
        <v>574370</v>
      </c>
      <c r="I446" s="137">
        <f t="shared" si="109"/>
        <v>86154</v>
      </c>
      <c r="J446" s="137">
        <f>SUM(J417:J445)</f>
        <v>0</v>
      </c>
      <c r="K446" s="137">
        <f>SUM(K417:K445)</f>
        <v>0</v>
      </c>
      <c r="L446" s="137">
        <f>SUM(L417:L445)</f>
        <v>86154</v>
      </c>
      <c r="M446" s="137">
        <f>N446+O446+P446+Q446</f>
        <v>488216</v>
      </c>
      <c r="N446" s="137">
        <f>SUM(N417:N445)</f>
        <v>0</v>
      </c>
      <c r="O446" s="137">
        <f>SUM(O417:O445)</f>
        <v>0</v>
      </c>
      <c r="P446" s="137">
        <f>SUM(P417:P445)</f>
        <v>0</v>
      </c>
      <c r="Q446" s="137">
        <f>SUM(Q417:Q445)</f>
        <v>488216</v>
      </c>
      <c r="S446" s="556"/>
    </row>
    <row r="447" spans="1:19" s="139" customFormat="1" ht="12.75">
      <c r="A447" s="554"/>
      <c r="B447" s="278">
        <v>2011</v>
      </c>
      <c r="C447" s="555"/>
      <c r="D447" s="555"/>
      <c r="E447" s="140">
        <f>F447+G447</f>
        <v>1395600</v>
      </c>
      <c r="F447" s="140">
        <f>H447</f>
        <v>1395600</v>
      </c>
      <c r="G447" s="253"/>
      <c r="H447" s="140">
        <f>I447+M447</f>
        <v>1395600</v>
      </c>
      <c r="I447" s="140">
        <f>SUM(J447:L447)</f>
        <v>209340</v>
      </c>
      <c r="J447" s="140"/>
      <c r="K447" s="140"/>
      <c r="L447" s="552">
        <v>209340</v>
      </c>
      <c r="M447" s="140">
        <f>SUM(N447:Q447)</f>
        <v>1186260</v>
      </c>
      <c r="N447" s="140"/>
      <c r="O447" s="140"/>
      <c r="P447" s="140"/>
      <c r="Q447" s="253">
        <v>1186260</v>
      </c>
      <c r="S447" s="556"/>
    </row>
    <row r="448" spans="1:19" s="138" customFormat="1" ht="12.75">
      <c r="A448" s="266"/>
      <c r="B448" s="134">
        <v>2012</v>
      </c>
      <c r="C448" s="136"/>
      <c r="D448" s="136"/>
      <c r="E448" s="140">
        <f>F448+G448</f>
        <v>966700</v>
      </c>
      <c r="F448" s="140">
        <f>H448</f>
        <v>966700</v>
      </c>
      <c r="G448" s="253"/>
      <c r="H448" s="140">
        <f>I448+M448</f>
        <v>966700</v>
      </c>
      <c r="I448" s="140">
        <f>SUM(J448:L448)</f>
        <v>145005</v>
      </c>
      <c r="J448" s="140"/>
      <c r="K448" s="140"/>
      <c r="L448" s="552">
        <v>145005</v>
      </c>
      <c r="M448" s="140">
        <f>SUM(N448:Q448)</f>
        <v>821695</v>
      </c>
      <c r="N448" s="140"/>
      <c r="O448" s="140"/>
      <c r="P448" s="140"/>
      <c r="Q448" s="253">
        <v>821695</v>
      </c>
      <c r="S448" s="392"/>
    </row>
    <row r="449" spans="1:19" s="138" customFormat="1" ht="12.75">
      <c r="A449" s="266"/>
      <c r="B449" s="134">
        <v>2013</v>
      </c>
      <c r="C449" s="136"/>
      <c r="D449" s="136"/>
      <c r="E449" s="140">
        <f>F449+G449</f>
        <v>383550</v>
      </c>
      <c r="F449" s="140">
        <f>H449</f>
        <v>383550</v>
      </c>
      <c r="G449" s="253"/>
      <c r="H449" s="140">
        <f>I449+M449</f>
        <v>383550</v>
      </c>
      <c r="I449" s="140">
        <f>SUM(J449:L449)</f>
        <v>57532</v>
      </c>
      <c r="J449" s="140"/>
      <c r="K449" s="140"/>
      <c r="L449" s="552">
        <v>57532</v>
      </c>
      <c r="M449" s="140">
        <f>SUM(N449:Q449)</f>
        <v>326018</v>
      </c>
      <c r="N449" s="140"/>
      <c r="O449" s="140"/>
      <c r="P449" s="140"/>
      <c r="Q449" s="253">
        <v>326018</v>
      </c>
      <c r="S449" s="392"/>
    </row>
    <row r="450" spans="1:17" s="55" customFormat="1" ht="15" customHeight="1">
      <c r="A450" s="799" t="s">
        <v>759</v>
      </c>
      <c r="B450" s="799"/>
      <c r="C450" s="799" t="s">
        <v>710</v>
      </c>
      <c r="D450" s="799"/>
      <c r="E450" s="267">
        <f aca="true" t="shared" si="112" ref="E450:Q450">E10+E91</f>
        <v>48935930.51</v>
      </c>
      <c r="F450" s="267">
        <f t="shared" si="112"/>
        <v>22614290</v>
      </c>
      <c r="G450" s="268">
        <f t="shared" si="112"/>
        <v>24594548</v>
      </c>
      <c r="H450" s="268">
        <f t="shared" si="112"/>
        <v>47208838</v>
      </c>
      <c r="I450" s="267">
        <f t="shared" si="112"/>
        <v>17033734</v>
      </c>
      <c r="J450" s="267">
        <f t="shared" si="112"/>
        <v>0</v>
      </c>
      <c r="K450" s="267">
        <f t="shared" si="112"/>
        <v>0</v>
      </c>
      <c r="L450" s="267">
        <f t="shared" si="112"/>
        <v>17033734</v>
      </c>
      <c r="M450" s="267">
        <f t="shared" si="112"/>
        <v>29144804</v>
      </c>
      <c r="N450" s="267">
        <f t="shared" si="112"/>
        <v>0</v>
      </c>
      <c r="O450" s="267">
        <f t="shared" si="112"/>
        <v>0</v>
      </c>
      <c r="P450" s="267">
        <f t="shared" si="112"/>
        <v>0</v>
      </c>
      <c r="Q450" s="267" t="e">
        <f t="shared" si="112"/>
        <v>#REF!</v>
      </c>
    </row>
    <row r="453" ht="11.25">
      <c r="B453" s="396"/>
    </row>
    <row r="454" ht="11.25">
      <c r="D454" s="482"/>
    </row>
    <row r="455" ht="11.25">
      <c r="D455" s="482"/>
    </row>
    <row r="458" ht="11.25">
      <c r="D458" s="482"/>
    </row>
    <row r="460" ht="11.25">
      <c r="D460" s="482"/>
    </row>
    <row r="462" ht="11.25">
      <c r="D462" s="482"/>
    </row>
  </sheetData>
  <sheetProtection/>
  <mergeCells count="52">
    <mergeCell ref="C47:Q47"/>
    <mergeCell ref="C55:Q55"/>
    <mergeCell ref="C63:Q63"/>
    <mergeCell ref="A450:B450"/>
    <mergeCell ref="C450:D450"/>
    <mergeCell ref="C199:Q202"/>
    <mergeCell ref="C226:Q229"/>
    <mergeCell ref="C253:Q256"/>
    <mergeCell ref="C279:Q282"/>
    <mergeCell ref="C91:D91"/>
    <mergeCell ref="A318:A337"/>
    <mergeCell ref="C318:Q321"/>
    <mergeCell ref="C339:Q342"/>
    <mergeCell ref="C112:Q115"/>
    <mergeCell ref="C141:Q144"/>
    <mergeCell ref="C167:Q170"/>
    <mergeCell ref="C198:Q198"/>
    <mergeCell ref="A92:A111"/>
    <mergeCell ref="C92:Q95"/>
    <mergeCell ref="C10:D10"/>
    <mergeCell ref="A11:A21"/>
    <mergeCell ref="C11:Q13"/>
    <mergeCell ref="C14:Q14"/>
    <mergeCell ref="C31:Q31"/>
    <mergeCell ref="C39:Q39"/>
    <mergeCell ref="C22:Q22"/>
    <mergeCell ref="C71:Q74"/>
    <mergeCell ref="H4:Q4"/>
    <mergeCell ref="H5:H8"/>
    <mergeCell ref="I5:Q5"/>
    <mergeCell ref="I6:L6"/>
    <mergeCell ref="M6:Q6"/>
    <mergeCell ref="I7:I8"/>
    <mergeCell ref="J7:L7"/>
    <mergeCell ref="M7:M8"/>
    <mergeCell ref="N7:Q7"/>
    <mergeCell ref="A1:Q1"/>
    <mergeCell ref="A3:A8"/>
    <mergeCell ref="B3:B8"/>
    <mergeCell ref="C3:C8"/>
    <mergeCell ref="D3:D8"/>
    <mergeCell ref="E3:E8"/>
    <mergeCell ref="F3:G3"/>
    <mergeCell ref="H3:Q3"/>
    <mergeCell ref="F4:F8"/>
    <mergeCell ref="G4:G8"/>
    <mergeCell ref="C414:Q414"/>
    <mergeCell ref="C412:Q412"/>
    <mergeCell ref="D413:Q413"/>
    <mergeCell ref="C81:Q81"/>
    <mergeCell ref="D82:Q82"/>
    <mergeCell ref="C83:Q83"/>
  </mergeCells>
  <printOptions/>
  <pageMargins left="0.7480314960629921" right="0.7480314960629921" top="0.984251968503937" bottom="0.984251968503937" header="0.5118110236220472" footer="0.5118110236220472"/>
  <pageSetup horizontalDpi="600" verticalDpi="600" orientation="landscape" paperSize="9" scale="80" r:id="rId1"/>
  <headerFooter alignWithMargins="0">
    <oddHeader>&amp;RZałącznik nr 4
do uchwały rady Powiatu
nr XXXIV/210/10
z dnia 15.10.2010 r.</oddHeader>
  </headerFooter>
</worksheet>
</file>

<file path=xl/worksheets/sheet6.xml><?xml version="1.0" encoding="utf-8"?>
<worksheet xmlns="http://schemas.openxmlformats.org/spreadsheetml/2006/main" xmlns:r="http://schemas.openxmlformats.org/officeDocument/2006/relationships">
  <dimension ref="A1:G26"/>
  <sheetViews>
    <sheetView showGridLines="0" zoomScalePageLayoutView="0" workbookViewId="0" topLeftCell="A1">
      <selection activeCell="D16" sqref="D16"/>
    </sheetView>
  </sheetViews>
  <sheetFormatPr defaultColWidth="9.00390625" defaultRowHeight="12.75"/>
  <cols>
    <col min="1" max="1" width="4.75390625" style="1" bestFit="1" customWidth="1"/>
    <col min="2" max="2" width="40.125" style="1" bestFit="1" customWidth="1"/>
    <col min="3" max="3" width="14.00390625" style="1" customWidth="1"/>
    <col min="4" max="4" width="17.125" style="67" customWidth="1"/>
    <col min="5" max="6" width="9.125" style="1" customWidth="1"/>
    <col min="7" max="7" width="10.125" style="1" bestFit="1" customWidth="1"/>
    <col min="8" max="16384" width="9.125" style="1" customWidth="1"/>
  </cols>
  <sheetData>
    <row r="1" spans="1:4" ht="15" customHeight="1">
      <c r="A1" s="727" t="s">
        <v>142</v>
      </c>
      <c r="B1" s="727"/>
      <c r="C1" s="727"/>
      <c r="D1" s="727"/>
    </row>
    <row r="2" ht="6.75" customHeight="1">
      <c r="A2" s="15"/>
    </row>
    <row r="3" ht="12.75">
      <c r="D3" s="90" t="s">
        <v>704</v>
      </c>
    </row>
    <row r="4" spans="1:4" ht="15" customHeight="1">
      <c r="A4" s="757" t="s">
        <v>721</v>
      </c>
      <c r="B4" s="757" t="s">
        <v>668</v>
      </c>
      <c r="C4" s="743" t="s">
        <v>722</v>
      </c>
      <c r="D4" s="758" t="s">
        <v>162</v>
      </c>
    </row>
    <row r="5" spans="1:4" ht="15" customHeight="1">
      <c r="A5" s="757"/>
      <c r="B5" s="757"/>
      <c r="C5" s="757"/>
      <c r="D5" s="758"/>
    </row>
    <row r="6" spans="1:4" ht="15.75" customHeight="1">
      <c r="A6" s="757"/>
      <c r="B6" s="757"/>
      <c r="C6" s="757"/>
      <c r="D6" s="758"/>
    </row>
    <row r="7" spans="1:4" s="57" customFormat="1" ht="6.75" customHeight="1">
      <c r="A7" s="56">
        <v>1</v>
      </c>
      <c r="B7" s="56">
        <v>2</v>
      </c>
      <c r="C7" s="56">
        <v>3</v>
      </c>
      <c r="D7" s="91">
        <v>4</v>
      </c>
    </row>
    <row r="8" spans="1:4" ht="18.75" customHeight="1">
      <c r="A8" s="801" t="s">
        <v>688</v>
      </c>
      <c r="B8" s="801"/>
      <c r="C8" s="22"/>
      <c r="D8" s="77">
        <f>SUM(D9:D16)</f>
        <v>8095716</v>
      </c>
    </row>
    <row r="9" spans="1:4" ht="18.75" customHeight="1">
      <c r="A9" s="23" t="s">
        <v>674</v>
      </c>
      <c r="B9" s="24" t="s">
        <v>682</v>
      </c>
      <c r="C9" s="23" t="s">
        <v>689</v>
      </c>
      <c r="D9" s="92">
        <f>3818329+4000-1996614-1473480-330000-22235</f>
        <v>0</v>
      </c>
    </row>
    <row r="10" spans="1:4" ht="18.75" customHeight="1">
      <c r="A10" s="25" t="s">
        <v>675</v>
      </c>
      <c r="B10" s="26" t="s">
        <v>683</v>
      </c>
      <c r="C10" s="25" t="s">
        <v>689</v>
      </c>
      <c r="D10" s="93"/>
    </row>
    <row r="11" spans="1:7" ht="51">
      <c r="A11" s="25" t="s">
        <v>676</v>
      </c>
      <c r="B11" s="27" t="s">
        <v>781</v>
      </c>
      <c r="C11" s="25" t="s">
        <v>712</v>
      </c>
      <c r="D11" s="93"/>
      <c r="G11" s="67"/>
    </row>
    <row r="12" spans="1:4" ht="18.75" customHeight="1">
      <c r="A12" s="25" t="s">
        <v>664</v>
      </c>
      <c r="B12" s="26" t="s">
        <v>691</v>
      </c>
      <c r="C12" s="25" t="s">
        <v>713</v>
      </c>
      <c r="D12" s="93"/>
    </row>
    <row r="13" spans="1:4" ht="18.75" customHeight="1">
      <c r="A13" s="25" t="s">
        <v>681</v>
      </c>
      <c r="B13" s="26" t="s">
        <v>782</v>
      </c>
      <c r="C13" s="25" t="s">
        <v>42</v>
      </c>
      <c r="D13" s="93"/>
    </row>
    <row r="14" spans="1:4" ht="18.75" customHeight="1">
      <c r="A14" s="25" t="s">
        <v>684</v>
      </c>
      <c r="B14" s="26" t="s">
        <v>685</v>
      </c>
      <c r="C14" s="25" t="s">
        <v>690</v>
      </c>
      <c r="D14" s="93"/>
    </row>
    <row r="15" spans="1:4" ht="18.75" customHeight="1">
      <c r="A15" s="25" t="s">
        <v>686</v>
      </c>
      <c r="B15" s="26" t="s">
        <v>52</v>
      </c>
      <c r="C15" s="25" t="s">
        <v>731</v>
      </c>
      <c r="D15" s="93">
        <v>3600000</v>
      </c>
    </row>
    <row r="16" spans="1:4" ht="18.75" customHeight="1">
      <c r="A16" s="25" t="s">
        <v>693</v>
      </c>
      <c r="B16" s="29" t="s">
        <v>711</v>
      </c>
      <c r="C16" s="28" t="s">
        <v>692</v>
      </c>
      <c r="D16" s="94">
        <f>2083300+1300000+180000+D18-88900</f>
        <v>4495716</v>
      </c>
    </row>
    <row r="17" spans="1:4" ht="18.75" customHeight="1">
      <c r="A17" s="801" t="s">
        <v>783</v>
      </c>
      <c r="B17" s="801"/>
      <c r="C17" s="22"/>
      <c r="D17" s="77">
        <f>SUM(D18:D24)</f>
        <v>1021316</v>
      </c>
    </row>
    <row r="18" spans="1:4" ht="18.75" customHeight="1">
      <c r="A18" s="23" t="s">
        <v>674</v>
      </c>
      <c r="B18" s="24" t="s">
        <v>714</v>
      </c>
      <c r="C18" s="23" t="s">
        <v>695</v>
      </c>
      <c r="D18" s="92">
        <v>1021316</v>
      </c>
    </row>
    <row r="19" spans="1:4" ht="18.75" customHeight="1">
      <c r="A19" s="25" t="s">
        <v>675</v>
      </c>
      <c r="B19" s="26" t="s">
        <v>694</v>
      </c>
      <c r="C19" s="25" t="s">
        <v>695</v>
      </c>
      <c r="D19" s="93"/>
    </row>
    <row r="20" spans="1:4" ht="38.25">
      <c r="A20" s="25" t="s">
        <v>676</v>
      </c>
      <c r="B20" s="27" t="s">
        <v>717</v>
      </c>
      <c r="C20" s="25" t="s">
        <v>718</v>
      </c>
      <c r="D20" s="93"/>
    </row>
    <row r="21" spans="1:4" ht="18.75" customHeight="1">
      <c r="A21" s="25" t="s">
        <v>664</v>
      </c>
      <c r="B21" s="26" t="s">
        <v>715</v>
      </c>
      <c r="C21" s="25" t="s">
        <v>709</v>
      </c>
      <c r="D21" s="93"/>
    </row>
    <row r="22" spans="1:4" ht="18.75" customHeight="1">
      <c r="A22" s="25" t="s">
        <v>681</v>
      </c>
      <c r="B22" s="26" t="s">
        <v>716</v>
      </c>
      <c r="C22" s="25" t="s">
        <v>697</v>
      </c>
      <c r="D22" s="93"/>
    </row>
    <row r="23" spans="1:4" ht="18.75" customHeight="1">
      <c r="A23" s="25" t="s">
        <v>684</v>
      </c>
      <c r="B23" s="26" t="s">
        <v>53</v>
      </c>
      <c r="C23" s="25" t="s">
        <v>698</v>
      </c>
      <c r="D23" s="93"/>
    </row>
    <row r="24" spans="1:4" ht="18.75" customHeight="1">
      <c r="A24" s="28" t="s">
        <v>686</v>
      </c>
      <c r="B24" s="29" t="s">
        <v>699</v>
      </c>
      <c r="C24" s="28" t="s">
        <v>696</v>
      </c>
      <c r="D24" s="94"/>
    </row>
    <row r="25" spans="1:4" ht="7.5" customHeight="1">
      <c r="A25" s="3"/>
      <c r="B25" s="4"/>
      <c r="C25" s="4"/>
      <c r="D25" s="95"/>
    </row>
    <row r="26" spans="1:6" ht="12.75">
      <c r="A26" s="37"/>
      <c r="B26" s="36"/>
      <c r="C26" s="36"/>
      <c r="D26" s="96"/>
      <c r="E26" s="32"/>
      <c r="F26" s="32"/>
    </row>
  </sheetData>
  <sheetProtection/>
  <mergeCells count="7">
    <mergeCell ref="A8:B8"/>
    <mergeCell ref="A17:B17"/>
    <mergeCell ref="A1:D1"/>
    <mergeCell ref="A4:A6"/>
    <mergeCell ref="C4:C6"/>
    <mergeCell ref="B4:B6"/>
    <mergeCell ref="D4:D6"/>
  </mergeCells>
  <printOptions horizontalCentered="1"/>
  <pageMargins left="0.3937007874015748" right="0.3937007874015748" top="1.6141732283464567" bottom="0.5905511811023623" header="0.5118110236220472" footer="0.5118110236220472"/>
  <pageSetup horizontalDpi="600" verticalDpi="600" orientation="portrait" paperSize="9" r:id="rId1"/>
  <headerFooter alignWithMargins="0">
    <oddHeader>&amp;RZałącznik nr 5
do uchwały Rady Powiatu 
nr XXXIV/210/10
z dnia 15.10.2010 r.</oddHeader>
  </headerFooter>
</worksheet>
</file>

<file path=xl/worksheets/sheet7.xml><?xml version="1.0" encoding="utf-8"?>
<worksheet xmlns="http://schemas.openxmlformats.org/spreadsheetml/2006/main" xmlns:r="http://schemas.openxmlformats.org/officeDocument/2006/relationships">
  <dimension ref="A1:K24"/>
  <sheetViews>
    <sheetView showGridLines="0" defaultGridColor="0" zoomScalePageLayoutView="0" colorId="8" workbookViewId="0" topLeftCell="A2">
      <selection activeCell="D18" sqref="D18"/>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744" t="s">
        <v>174</v>
      </c>
      <c r="B1" s="744"/>
      <c r="C1" s="744"/>
      <c r="D1" s="744"/>
      <c r="E1" s="744"/>
      <c r="F1" s="744"/>
      <c r="G1" s="744"/>
      <c r="H1" s="744"/>
      <c r="I1" s="744"/>
      <c r="J1" s="744"/>
    </row>
    <row r="2" ht="12.75">
      <c r="J2" s="8" t="s">
        <v>704</v>
      </c>
    </row>
    <row r="3" spans="1:10" s="2" customFormat="1" ht="36.75" customHeight="1">
      <c r="A3" s="13" t="s">
        <v>665</v>
      </c>
      <c r="B3" s="80" t="s">
        <v>666</v>
      </c>
      <c r="C3" s="80" t="s">
        <v>788</v>
      </c>
      <c r="D3" s="14" t="s">
        <v>774</v>
      </c>
      <c r="E3" s="14" t="s">
        <v>43</v>
      </c>
      <c r="F3" s="758" t="s">
        <v>772</v>
      </c>
      <c r="G3" s="743" t="s">
        <v>669</v>
      </c>
      <c r="H3" s="743"/>
      <c r="I3" s="743"/>
      <c r="J3" s="743" t="s">
        <v>773</v>
      </c>
    </row>
    <row r="4" spans="1:10" s="2" customFormat="1" ht="65.25" customHeight="1">
      <c r="A4" s="13"/>
      <c r="B4" s="81"/>
      <c r="C4" s="81"/>
      <c r="D4" s="13"/>
      <c r="E4" s="14"/>
      <c r="F4" s="758"/>
      <c r="G4" s="85" t="s">
        <v>622</v>
      </c>
      <c r="H4" s="85" t="s">
        <v>771</v>
      </c>
      <c r="I4" s="85" t="s">
        <v>351</v>
      </c>
      <c r="J4" s="743"/>
    </row>
    <row r="5" spans="1:10" ht="9" customHeight="1">
      <c r="A5" s="16">
        <v>1</v>
      </c>
      <c r="B5" s="16">
        <v>2</v>
      </c>
      <c r="C5" s="16">
        <v>3</v>
      </c>
      <c r="D5" s="86">
        <v>4</v>
      </c>
      <c r="E5" s="86">
        <v>5</v>
      </c>
      <c r="F5" s="86">
        <v>6</v>
      </c>
      <c r="G5" s="86">
        <v>7</v>
      </c>
      <c r="H5" s="86">
        <v>8</v>
      </c>
      <c r="I5" s="86">
        <v>9</v>
      </c>
      <c r="J5" s="16">
        <v>10</v>
      </c>
    </row>
    <row r="6" spans="1:10" ht="19.5" customHeight="1">
      <c r="A6" s="17" t="s">
        <v>86</v>
      </c>
      <c r="B6" s="17" t="s">
        <v>88</v>
      </c>
      <c r="C6" s="17">
        <v>211</v>
      </c>
      <c r="D6" s="74">
        <f>1!E12</f>
        <v>25000</v>
      </c>
      <c r="E6" s="74">
        <f>SUM(F6+J6)</f>
        <v>25000</v>
      </c>
      <c r="F6" s="74">
        <f>D6</f>
        <v>25000</v>
      </c>
      <c r="G6" s="74"/>
      <c r="H6" s="74"/>
      <c r="I6" s="74"/>
      <c r="J6" s="17"/>
    </row>
    <row r="7" spans="1:10" ht="19.5" customHeight="1">
      <c r="A7" s="17" t="s">
        <v>352</v>
      </c>
      <c r="B7" s="17" t="s">
        <v>353</v>
      </c>
      <c r="C7" s="17">
        <v>211</v>
      </c>
      <c r="D7" s="74">
        <f>1!E32</f>
        <v>141200</v>
      </c>
      <c r="E7" s="74">
        <f aca="true" t="shared" si="0" ref="E7:E21">SUM(F7+J7)</f>
        <v>141200</v>
      </c>
      <c r="F7" s="74">
        <f aca="true" t="shared" si="1" ref="F7:F21">D7</f>
        <v>141200</v>
      </c>
      <c r="G7" s="74"/>
      <c r="H7" s="74"/>
      <c r="I7" s="74"/>
      <c r="J7" s="17"/>
    </row>
    <row r="8" spans="1:10" ht="19.5" customHeight="1" hidden="1">
      <c r="A8" s="17"/>
      <c r="B8" s="17"/>
      <c r="C8" s="17">
        <v>640</v>
      </c>
      <c r="D8" s="74"/>
      <c r="E8" s="74">
        <f>SUM(F8+J8)</f>
        <v>0</v>
      </c>
      <c r="F8" s="74"/>
      <c r="G8" s="74"/>
      <c r="H8" s="74"/>
      <c r="I8" s="74"/>
      <c r="J8" s="17"/>
    </row>
    <row r="9" spans="1:10" ht="19.5" customHeight="1">
      <c r="A9" s="17" t="s">
        <v>354</v>
      </c>
      <c r="B9" s="17" t="s">
        <v>355</v>
      </c>
      <c r="C9" s="17">
        <v>211</v>
      </c>
      <c r="D9" s="74">
        <f>1!E38</f>
        <v>70000</v>
      </c>
      <c r="E9" s="74">
        <f t="shared" si="0"/>
        <v>70000</v>
      </c>
      <c r="F9" s="74">
        <f t="shared" si="1"/>
        <v>70000</v>
      </c>
      <c r="G9" s="74"/>
      <c r="H9" s="74"/>
      <c r="I9" s="74"/>
      <c r="J9" s="17"/>
    </row>
    <row r="10" spans="1:10" ht="19.5" customHeight="1">
      <c r="A10" s="17"/>
      <c r="B10" s="17" t="s">
        <v>356</v>
      </c>
      <c r="C10" s="17">
        <v>211</v>
      </c>
      <c r="D10" s="74">
        <f>1!E40</f>
        <v>4900</v>
      </c>
      <c r="E10" s="74">
        <f t="shared" si="0"/>
        <v>4900</v>
      </c>
      <c r="F10" s="74">
        <f t="shared" si="1"/>
        <v>4900</v>
      </c>
      <c r="G10" s="74"/>
      <c r="H10" s="74"/>
      <c r="I10" s="74"/>
      <c r="J10" s="17"/>
    </row>
    <row r="11" spans="1:11" ht="19.5" customHeight="1">
      <c r="A11" s="17"/>
      <c r="B11" s="17" t="s">
        <v>357</v>
      </c>
      <c r="C11" s="17">
        <v>211</v>
      </c>
      <c r="D11" s="74">
        <f>1!E43</f>
        <v>453450</v>
      </c>
      <c r="E11" s="74">
        <f t="shared" si="0"/>
        <v>453450</v>
      </c>
      <c r="F11" s="74">
        <f t="shared" si="1"/>
        <v>453450</v>
      </c>
      <c r="G11" s="362">
        <v>317852</v>
      </c>
      <c r="H11" s="362">
        <v>62900</v>
      </c>
      <c r="I11" s="362">
        <v>24148</v>
      </c>
      <c r="J11" s="17"/>
      <c r="K11" s="73"/>
    </row>
    <row r="12" spans="1:10" ht="19.5" customHeight="1">
      <c r="A12" s="17"/>
      <c r="B12" s="678">
        <v>71078</v>
      </c>
      <c r="C12" s="17">
        <v>211</v>
      </c>
      <c r="D12" s="74">
        <f>1!E45</f>
        <v>10000</v>
      </c>
      <c r="E12" s="74">
        <f>SUM(F12+J12)</f>
        <v>10000</v>
      </c>
      <c r="F12" s="74">
        <f>D12</f>
        <v>10000</v>
      </c>
      <c r="G12" s="74"/>
      <c r="H12" s="74"/>
      <c r="I12" s="74"/>
      <c r="J12" s="17"/>
    </row>
    <row r="13" spans="1:11" ht="19.5" customHeight="1">
      <c r="A13" s="17" t="s">
        <v>358</v>
      </c>
      <c r="B13" s="17" t="s">
        <v>359</v>
      </c>
      <c r="C13" s="17">
        <v>211</v>
      </c>
      <c r="D13" s="74">
        <f>1!E48</f>
        <v>320100</v>
      </c>
      <c r="E13" s="74">
        <f t="shared" si="0"/>
        <v>320100</v>
      </c>
      <c r="F13" s="74">
        <f t="shared" si="1"/>
        <v>320100</v>
      </c>
      <c r="G13" s="74">
        <v>241950</v>
      </c>
      <c r="H13" s="74">
        <v>41844</v>
      </c>
      <c r="I13" s="74">
        <v>17100</v>
      </c>
      <c r="J13" s="17"/>
      <c r="K13" s="73"/>
    </row>
    <row r="14" spans="1:10" ht="19.5" customHeight="1">
      <c r="A14" s="17"/>
      <c r="B14" s="17" t="s">
        <v>360</v>
      </c>
      <c r="C14" s="17">
        <v>211</v>
      </c>
      <c r="D14" s="74">
        <f>1!E56</f>
        <v>35994</v>
      </c>
      <c r="E14" s="74">
        <f t="shared" si="0"/>
        <v>35994</v>
      </c>
      <c r="F14" s="74">
        <f t="shared" si="1"/>
        <v>35994</v>
      </c>
      <c r="G14" s="74"/>
      <c r="H14" s="74">
        <v>900</v>
      </c>
      <c r="I14" s="74"/>
      <c r="J14" s="17"/>
    </row>
    <row r="15" spans="1:11" ht="19.5" customHeight="1">
      <c r="A15" s="17">
        <v>751</v>
      </c>
      <c r="B15" s="17" t="s">
        <v>565</v>
      </c>
      <c r="C15" s="17">
        <v>211</v>
      </c>
      <c r="D15" s="74">
        <f>1!F63</f>
        <v>24011</v>
      </c>
      <c r="E15" s="74">
        <f>SUM(F15+J15)</f>
        <v>24011</v>
      </c>
      <c r="F15" s="74">
        <f>D15</f>
        <v>24011</v>
      </c>
      <c r="G15" s="74"/>
      <c r="H15" s="74">
        <f>440+71</f>
        <v>511</v>
      </c>
      <c r="I15" s="74"/>
      <c r="J15" s="17"/>
      <c r="K15" s="73"/>
    </row>
    <row r="16" spans="1:10" ht="19.5" customHeight="1">
      <c r="A16" s="17" t="s">
        <v>450</v>
      </c>
      <c r="B16" s="17" t="s">
        <v>451</v>
      </c>
      <c r="C16" s="17">
        <v>211</v>
      </c>
      <c r="D16" s="74">
        <f>1!E60</f>
        <v>3000</v>
      </c>
      <c r="E16" s="74">
        <f>SUM(F16+J16)</f>
        <v>3000</v>
      </c>
      <c r="F16" s="74">
        <f>D16</f>
        <v>3000</v>
      </c>
      <c r="G16" s="74"/>
      <c r="H16" s="74"/>
      <c r="I16" s="74"/>
      <c r="J16" s="17"/>
    </row>
    <row r="17" spans="1:10" ht="19.5" customHeight="1" hidden="1">
      <c r="A17" s="17"/>
      <c r="B17" s="17"/>
      <c r="C17" s="17"/>
      <c r="D17" s="74"/>
      <c r="E17" s="74"/>
      <c r="F17" s="74"/>
      <c r="G17" s="74"/>
      <c r="H17" s="74"/>
      <c r="I17" s="74"/>
      <c r="J17" s="17"/>
    </row>
    <row r="18" spans="1:10" ht="19.5" customHeight="1">
      <c r="A18" s="17" t="s">
        <v>361</v>
      </c>
      <c r="B18" s="17" t="s">
        <v>362</v>
      </c>
      <c r="C18" s="17">
        <v>211</v>
      </c>
      <c r="D18" s="74">
        <f>1!E111</f>
        <v>2885119</v>
      </c>
      <c r="E18" s="74">
        <f t="shared" si="0"/>
        <v>2885119</v>
      </c>
      <c r="F18" s="74">
        <f t="shared" si="1"/>
        <v>2885119</v>
      </c>
      <c r="G18" s="74"/>
      <c r="H18" s="74"/>
      <c r="I18" s="74"/>
      <c r="J18" s="17"/>
    </row>
    <row r="19" spans="1:10" ht="19.5" customHeight="1">
      <c r="A19" s="17"/>
      <c r="B19" s="17" t="s">
        <v>363</v>
      </c>
      <c r="C19" s="17">
        <v>211</v>
      </c>
      <c r="D19" s="74">
        <f>1!E128</f>
        <v>766566</v>
      </c>
      <c r="E19" s="74">
        <f t="shared" si="0"/>
        <v>766566</v>
      </c>
      <c r="F19" s="74">
        <f t="shared" si="1"/>
        <v>766566</v>
      </c>
      <c r="G19" s="74">
        <v>425780</v>
      </c>
      <c r="H19" s="74">
        <f>68540+10740</f>
        <v>79280</v>
      </c>
      <c r="I19" s="74">
        <v>34700</v>
      </c>
      <c r="J19" s="17"/>
    </row>
    <row r="20" spans="1:10" ht="19.5" customHeight="1">
      <c r="A20" s="17" t="s">
        <v>364</v>
      </c>
      <c r="B20" s="17" t="s">
        <v>365</v>
      </c>
      <c r="C20" s="17">
        <v>211</v>
      </c>
      <c r="D20" s="74">
        <f>1!E139</f>
        <v>116220</v>
      </c>
      <c r="E20" s="74">
        <f t="shared" si="0"/>
        <v>116220</v>
      </c>
      <c r="F20" s="74">
        <f t="shared" si="1"/>
        <v>116220</v>
      </c>
      <c r="G20" s="74">
        <v>40000</v>
      </c>
      <c r="H20" s="74">
        <v>8000</v>
      </c>
      <c r="I20" s="74">
        <v>3000</v>
      </c>
      <c r="J20" s="74"/>
    </row>
    <row r="21" spans="1:10" ht="19.5" customHeight="1" hidden="1">
      <c r="A21" s="17"/>
      <c r="B21" s="17" t="s">
        <v>610</v>
      </c>
      <c r="C21" s="17">
        <v>211</v>
      </c>
      <c r="D21" s="74">
        <f>1!E147</f>
        <v>0</v>
      </c>
      <c r="E21" s="74">
        <f t="shared" si="0"/>
        <v>0</v>
      </c>
      <c r="F21" s="74">
        <f t="shared" si="1"/>
        <v>0</v>
      </c>
      <c r="G21" s="74"/>
      <c r="H21" s="74"/>
      <c r="I21" s="74"/>
      <c r="J21" s="74"/>
    </row>
    <row r="22" spans="1:10" s="53" customFormat="1" ht="19.5" customHeight="1">
      <c r="A22" s="802" t="s">
        <v>784</v>
      </c>
      <c r="B22" s="803"/>
      <c r="C22" s="803"/>
      <c r="D22" s="108">
        <f>SUM(D6:D21)</f>
        <v>4855560</v>
      </c>
      <c r="E22" s="108">
        <f>SUM(F22+J22)</f>
        <v>4855560</v>
      </c>
      <c r="F22" s="108">
        <f>SUM(F6:F21)</f>
        <v>4855560</v>
      </c>
      <c r="G22" s="108">
        <f>SUM(G6:G20)</f>
        <v>1025582</v>
      </c>
      <c r="H22" s="108">
        <f>SUM(H6:H20)</f>
        <v>193435</v>
      </c>
      <c r="I22" s="108">
        <f>SUM(I6:I20)</f>
        <v>78948</v>
      </c>
      <c r="J22" s="108">
        <f>SUM(J6:J20)</f>
        <v>0</v>
      </c>
    </row>
    <row r="24" ht="12.75">
      <c r="A24" s="60"/>
    </row>
  </sheetData>
  <sheetProtection/>
  <mergeCells count="5">
    <mergeCell ref="A22:C22"/>
    <mergeCell ref="A1:J1"/>
    <mergeCell ref="F3:F4"/>
    <mergeCell ref="G3:I3"/>
    <mergeCell ref="J3:J4"/>
  </mergeCells>
  <printOptions horizontalCentered="1"/>
  <pageMargins left="0.5511811023622047" right="0.5511811023622047" top="1.3779527559055118" bottom="0.3937007874015748" header="0.5118110236220472" footer="0.5118110236220472"/>
  <pageSetup horizontalDpi="300" verticalDpi="300" orientation="landscape" paperSize="9" scale="90" r:id="rId1"/>
  <headerFooter alignWithMargins="0">
    <oddHeader>&amp;RZałącznik nr 6
do uchwały Rady Powiatu 
nr XXXIV/210/10
z dnia 15.10.2010 r.</oddHeader>
  </headerFooter>
</worksheet>
</file>

<file path=xl/worksheets/sheet8.xml><?xml version="1.0" encoding="utf-8"?>
<worksheet xmlns="http://schemas.openxmlformats.org/spreadsheetml/2006/main" xmlns:r="http://schemas.openxmlformats.org/officeDocument/2006/relationships">
  <dimension ref="A1:J11"/>
  <sheetViews>
    <sheetView zoomScalePageLayoutView="0" workbookViewId="0" topLeftCell="A1">
      <selection activeCell="A11" sqref="A11"/>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744" t="s">
        <v>175</v>
      </c>
      <c r="B1" s="744"/>
      <c r="C1" s="744"/>
      <c r="D1" s="744"/>
      <c r="E1" s="744"/>
      <c r="F1" s="744"/>
      <c r="G1" s="744"/>
      <c r="H1" s="744"/>
      <c r="I1" s="744"/>
      <c r="J1" s="744"/>
    </row>
    <row r="2" spans="1:6" ht="15.75">
      <c r="A2" s="9"/>
      <c r="B2" s="9"/>
      <c r="C2" s="9"/>
      <c r="D2" s="9"/>
      <c r="E2" s="9"/>
      <c r="F2" s="9"/>
    </row>
    <row r="3" spans="1:10" ht="13.5" customHeight="1">
      <c r="A3" s="4"/>
      <c r="B3" s="4"/>
      <c r="C3" s="4"/>
      <c r="D3" s="4"/>
      <c r="E3" s="4"/>
      <c r="F3" s="4"/>
      <c r="J3" s="50" t="s">
        <v>704</v>
      </c>
    </row>
    <row r="4" spans="1:10" ht="20.25" customHeight="1">
      <c r="A4" s="757" t="s">
        <v>665</v>
      </c>
      <c r="B4" s="804" t="s">
        <v>666</v>
      </c>
      <c r="C4" s="804" t="s">
        <v>788</v>
      </c>
      <c r="D4" s="743" t="s">
        <v>774</v>
      </c>
      <c r="E4" s="743" t="s">
        <v>43</v>
      </c>
      <c r="F4" s="743" t="s">
        <v>738</v>
      </c>
      <c r="G4" s="743"/>
      <c r="H4" s="743"/>
      <c r="I4" s="743"/>
      <c r="J4" s="743"/>
    </row>
    <row r="5" spans="1:10" ht="18" customHeight="1">
      <c r="A5" s="757"/>
      <c r="B5" s="805"/>
      <c r="C5" s="805"/>
      <c r="D5" s="757"/>
      <c r="E5" s="743"/>
      <c r="F5" s="743" t="s">
        <v>772</v>
      </c>
      <c r="G5" s="743" t="s">
        <v>669</v>
      </c>
      <c r="H5" s="743"/>
      <c r="I5" s="743"/>
      <c r="J5" s="743" t="s">
        <v>773</v>
      </c>
    </row>
    <row r="6" spans="1:10" ht="69" customHeight="1">
      <c r="A6" s="757"/>
      <c r="B6" s="806"/>
      <c r="C6" s="806"/>
      <c r="D6" s="757"/>
      <c r="E6" s="743"/>
      <c r="F6" s="743"/>
      <c r="G6" s="14" t="s">
        <v>770</v>
      </c>
      <c r="H6" s="14" t="s">
        <v>771</v>
      </c>
      <c r="I6" s="14" t="s">
        <v>44</v>
      </c>
      <c r="J6" s="743"/>
    </row>
    <row r="7" spans="1:10" ht="8.25" customHeight="1">
      <c r="A7" s="16">
        <v>1</v>
      </c>
      <c r="B7" s="16">
        <v>2</v>
      </c>
      <c r="C7" s="16">
        <v>3</v>
      </c>
      <c r="D7" s="16">
        <v>4</v>
      </c>
      <c r="E7" s="16">
        <v>5</v>
      </c>
      <c r="F7" s="16">
        <v>6</v>
      </c>
      <c r="G7" s="16">
        <v>7</v>
      </c>
      <c r="H7" s="16">
        <v>8</v>
      </c>
      <c r="I7" s="16">
        <v>9</v>
      </c>
      <c r="J7" s="16">
        <v>10</v>
      </c>
    </row>
    <row r="8" spans="1:10" ht="19.5" customHeight="1">
      <c r="A8" s="18">
        <v>750</v>
      </c>
      <c r="B8" s="18">
        <v>75045</v>
      </c>
      <c r="C8" s="18">
        <v>2120</v>
      </c>
      <c r="D8" s="105">
        <f>1!E57</f>
        <v>22766</v>
      </c>
      <c r="E8" s="105">
        <f>F8+J8</f>
        <v>22766</v>
      </c>
      <c r="F8" s="105">
        <f>D8</f>
        <v>22766</v>
      </c>
      <c r="G8" s="105"/>
      <c r="H8" s="105"/>
      <c r="I8" s="105"/>
      <c r="J8" s="105"/>
    </row>
    <row r="9" spans="1:10" ht="24.75" customHeight="1">
      <c r="A9" s="807" t="s">
        <v>784</v>
      </c>
      <c r="B9" s="808"/>
      <c r="C9" s="808"/>
      <c r="D9" s="106">
        <f aca="true" t="shared" si="0" ref="D9:J9">SUM(D8:D8)</f>
        <v>22766</v>
      </c>
      <c r="E9" s="106">
        <f t="shared" si="0"/>
        <v>22766</v>
      </c>
      <c r="F9" s="106">
        <f t="shared" si="0"/>
        <v>22766</v>
      </c>
      <c r="G9" s="106">
        <f t="shared" si="0"/>
        <v>0</v>
      </c>
      <c r="H9" s="106">
        <f t="shared" si="0"/>
        <v>0</v>
      </c>
      <c r="I9" s="106">
        <f t="shared" si="0"/>
        <v>0</v>
      </c>
      <c r="J9" s="106">
        <f t="shared" si="0"/>
        <v>0</v>
      </c>
    </row>
    <row r="11" spans="1:7" ht="12.75">
      <c r="A11" s="60"/>
      <c r="G11"/>
    </row>
  </sheetData>
  <sheetProtection/>
  <mergeCells count="11">
    <mergeCell ref="J5:J6"/>
    <mergeCell ref="A4:A6"/>
    <mergeCell ref="B4:B6"/>
    <mergeCell ref="C4:C6"/>
    <mergeCell ref="A9:C9"/>
    <mergeCell ref="D4:D6"/>
    <mergeCell ref="A1:J1"/>
    <mergeCell ref="E4:E6"/>
    <mergeCell ref="F4:J4"/>
    <mergeCell ref="F5:F6"/>
    <mergeCell ref="G5:I5"/>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9.xml><?xml version="1.0" encoding="utf-8"?>
<worksheet xmlns="http://schemas.openxmlformats.org/spreadsheetml/2006/main" xmlns:r="http://schemas.openxmlformats.org/officeDocument/2006/relationships">
  <dimension ref="A1:CB27"/>
  <sheetViews>
    <sheetView zoomScalePageLayoutView="0" workbookViewId="0" topLeftCell="A1">
      <selection activeCell="D27" sqref="D27"/>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744" t="s">
        <v>173</v>
      </c>
      <c r="B1" s="744"/>
      <c r="C1" s="744"/>
      <c r="D1" s="744"/>
      <c r="E1" s="744"/>
      <c r="F1" s="744"/>
      <c r="G1" s="744"/>
      <c r="H1" s="744"/>
      <c r="I1" s="744"/>
      <c r="J1" s="744"/>
      <c r="K1" s="744"/>
    </row>
    <row r="3" ht="12.75">
      <c r="K3" s="50" t="s">
        <v>704</v>
      </c>
    </row>
    <row r="4" spans="1:80" ht="20.25" customHeight="1">
      <c r="A4" s="757" t="s">
        <v>665</v>
      </c>
      <c r="B4" s="804" t="s">
        <v>666</v>
      </c>
      <c r="C4" s="804" t="s">
        <v>667</v>
      </c>
      <c r="D4" s="743" t="s">
        <v>774</v>
      </c>
      <c r="E4" s="743" t="s">
        <v>371</v>
      </c>
      <c r="F4" s="743" t="s">
        <v>738</v>
      </c>
      <c r="G4" s="743"/>
      <c r="H4" s="743"/>
      <c r="I4" s="743"/>
      <c r="J4" s="743"/>
      <c r="K4" s="743"/>
      <c r="BY4" s="1"/>
      <c r="BZ4" s="1"/>
      <c r="CA4" s="1"/>
      <c r="CB4" s="1"/>
    </row>
    <row r="5" spans="1:80" ht="18" customHeight="1">
      <c r="A5" s="757"/>
      <c r="B5" s="805"/>
      <c r="C5" s="805"/>
      <c r="D5" s="757"/>
      <c r="E5" s="743"/>
      <c r="F5" s="743" t="s">
        <v>772</v>
      </c>
      <c r="G5" s="743" t="s">
        <v>669</v>
      </c>
      <c r="H5" s="743"/>
      <c r="I5" s="743"/>
      <c r="J5" s="14"/>
      <c r="K5" s="743" t="s">
        <v>773</v>
      </c>
      <c r="BY5" s="1"/>
      <c r="BZ5" s="1"/>
      <c r="CA5" s="1"/>
      <c r="CB5" s="1"/>
    </row>
    <row r="6" spans="1:80" ht="69" customHeight="1">
      <c r="A6" s="757"/>
      <c r="B6" s="806"/>
      <c r="C6" s="806"/>
      <c r="D6" s="757"/>
      <c r="E6" s="743"/>
      <c r="F6" s="743"/>
      <c r="G6" s="14" t="s">
        <v>770</v>
      </c>
      <c r="H6" s="14" t="s">
        <v>771</v>
      </c>
      <c r="I6" s="104" t="s">
        <v>370</v>
      </c>
      <c r="J6" s="104" t="s">
        <v>391</v>
      </c>
      <c r="K6" s="743"/>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2.75" hidden="1">
      <c r="A8" s="74">
        <v>600</v>
      </c>
      <c r="B8" s="107">
        <v>60014</v>
      </c>
      <c r="C8" s="107">
        <v>2310</v>
      </c>
      <c r="D8" s="74">
        <f>1!F20</f>
        <v>0</v>
      </c>
      <c r="E8" s="74">
        <f>F8+K8</f>
        <v>0</v>
      </c>
      <c r="F8" s="74">
        <f aca="true" t="shared" si="0" ref="F8:F16">D8</f>
        <v>0</v>
      </c>
      <c r="G8" s="74"/>
      <c r="H8" s="74"/>
      <c r="I8" s="74"/>
      <c r="J8" s="74"/>
      <c r="K8" s="74"/>
      <c r="BY8" s="1"/>
      <c r="BZ8" s="1"/>
      <c r="CA8" s="1"/>
      <c r="CB8" s="1"/>
    </row>
    <row r="9" spans="1:80" ht="19.5" customHeight="1">
      <c r="A9" s="74">
        <v>600</v>
      </c>
      <c r="B9" s="107">
        <v>60014</v>
      </c>
      <c r="C9" s="243">
        <v>6610</v>
      </c>
      <c r="D9" s="74">
        <f>1!G26</f>
        <v>631757</v>
      </c>
      <c r="E9" s="74">
        <f>F9+K9</f>
        <v>631757</v>
      </c>
      <c r="F9" s="74"/>
      <c r="G9" s="74"/>
      <c r="H9" s="74"/>
      <c r="I9" s="74"/>
      <c r="J9" s="74"/>
      <c r="K9" s="74">
        <f>D9</f>
        <v>631757</v>
      </c>
      <c r="BY9" s="1"/>
      <c r="BZ9" s="1"/>
      <c r="CA9" s="1"/>
      <c r="CB9" s="1"/>
    </row>
    <row r="10" spans="1:80" ht="19.5" customHeight="1" hidden="1">
      <c r="A10" s="74"/>
      <c r="B10" s="107">
        <v>60014</v>
      </c>
      <c r="C10" s="243">
        <v>6610</v>
      </c>
      <c r="D10" s="74">
        <f>1!G27</f>
        <v>0</v>
      </c>
      <c r="E10" s="74">
        <f>D10</f>
        <v>0</v>
      </c>
      <c r="F10" s="74">
        <f t="shared" si="0"/>
        <v>0</v>
      </c>
      <c r="G10" s="74"/>
      <c r="H10" s="74"/>
      <c r="I10" s="74"/>
      <c r="J10" s="74"/>
      <c r="K10" s="74"/>
      <c r="BY10" s="1"/>
      <c r="BZ10" s="1"/>
      <c r="CA10" s="1"/>
      <c r="CB10" s="1"/>
    </row>
    <row r="11" spans="1:80" ht="19.5" customHeight="1" hidden="1">
      <c r="A11" s="74">
        <v>801</v>
      </c>
      <c r="B11" s="107">
        <v>80195</v>
      </c>
      <c r="C11" s="243">
        <v>2008</v>
      </c>
      <c r="D11" s="74"/>
      <c r="E11" s="74">
        <f>D11</f>
        <v>0</v>
      </c>
      <c r="F11" s="74">
        <f t="shared" si="0"/>
        <v>0</v>
      </c>
      <c r="G11" s="74"/>
      <c r="H11" s="74"/>
      <c r="I11" s="74"/>
      <c r="J11" s="74"/>
      <c r="K11" s="74"/>
      <c r="BY11" s="1"/>
      <c r="BZ11" s="1"/>
      <c r="CA11" s="1"/>
      <c r="CB11" s="1"/>
    </row>
    <row r="12" spans="1:80" ht="19.5" customHeight="1" hidden="1">
      <c r="A12" s="74"/>
      <c r="B12" s="107">
        <v>80195</v>
      </c>
      <c r="C12" s="243">
        <v>2009</v>
      </c>
      <c r="D12" s="74"/>
      <c r="E12" s="74">
        <f>D12</f>
        <v>0</v>
      </c>
      <c r="F12" s="74">
        <f t="shared" si="0"/>
        <v>0</v>
      </c>
      <c r="G12" s="74"/>
      <c r="H12" s="74"/>
      <c r="I12" s="74"/>
      <c r="J12" s="74"/>
      <c r="K12" s="74"/>
      <c r="BY12" s="1"/>
      <c r="BZ12" s="1"/>
      <c r="CA12" s="1"/>
      <c r="CB12" s="1"/>
    </row>
    <row r="13" spans="1:80" ht="19.5" customHeight="1" hidden="1">
      <c r="A13" s="74">
        <v>921</v>
      </c>
      <c r="B13" s="107">
        <v>92195</v>
      </c>
      <c r="C13" s="243">
        <v>6300</v>
      </c>
      <c r="D13" s="74">
        <f>1!E179</f>
        <v>0</v>
      </c>
      <c r="E13" s="74">
        <f>F13+K13</f>
        <v>0</v>
      </c>
      <c r="F13" s="74"/>
      <c r="G13" s="74"/>
      <c r="H13" s="74"/>
      <c r="I13" s="74"/>
      <c r="J13" s="74"/>
      <c r="K13" s="74"/>
      <c r="BY13" s="1"/>
      <c r="BZ13" s="1"/>
      <c r="CA13" s="1"/>
      <c r="CB13" s="1"/>
    </row>
    <row r="14" spans="1:80" ht="19.5" customHeight="1">
      <c r="A14" s="74">
        <v>600</v>
      </c>
      <c r="B14" s="107">
        <v>60014</v>
      </c>
      <c r="C14" s="243">
        <v>6300</v>
      </c>
      <c r="D14" s="74">
        <f>1!G25</f>
        <v>690757</v>
      </c>
      <c r="E14" s="74">
        <f>D14</f>
        <v>690757</v>
      </c>
      <c r="F14" s="74"/>
      <c r="G14" s="74"/>
      <c r="H14" s="74"/>
      <c r="I14" s="74"/>
      <c r="J14" s="74"/>
      <c r="K14" s="74">
        <f>D14</f>
        <v>690757</v>
      </c>
      <c r="BY14" s="1"/>
      <c r="BZ14" s="1"/>
      <c r="CA14" s="1"/>
      <c r="CB14" s="1"/>
    </row>
    <row r="15" spans="1:80" ht="19.5" customHeight="1">
      <c r="A15" s="74">
        <v>852</v>
      </c>
      <c r="B15" s="107">
        <v>85201</v>
      </c>
      <c r="C15" s="107">
        <v>2320</v>
      </c>
      <c r="D15" s="74">
        <f>1!E114</f>
        <v>44200</v>
      </c>
      <c r="E15" s="74">
        <f>F15+K15</f>
        <v>44200</v>
      </c>
      <c r="F15" s="74">
        <f t="shared" si="0"/>
        <v>44200</v>
      </c>
      <c r="G15" s="74"/>
      <c r="H15" s="74"/>
      <c r="I15" s="74"/>
      <c r="J15" s="74"/>
      <c r="K15" s="74"/>
      <c r="BY15" s="1"/>
      <c r="BZ15" s="1"/>
      <c r="CA15" s="1"/>
      <c r="CB15" s="1"/>
    </row>
    <row r="16" spans="1:80" ht="19.5" customHeight="1">
      <c r="A16" s="74"/>
      <c r="B16" s="107">
        <v>85204</v>
      </c>
      <c r="C16" s="107">
        <v>2320</v>
      </c>
      <c r="D16" s="74">
        <f>1!E131</f>
        <v>295000</v>
      </c>
      <c r="E16" s="74">
        <f>F16+K16</f>
        <v>295000</v>
      </c>
      <c r="F16" s="74">
        <f t="shared" si="0"/>
        <v>295000</v>
      </c>
      <c r="G16" s="74"/>
      <c r="H16" s="74"/>
      <c r="I16" s="74"/>
      <c r="J16" s="74"/>
      <c r="K16" s="74"/>
      <c r="BY16" s="1"/>
      <c r="BZ16" s="1"/>
      <c r="CA16" s="1"/>
      <c r="CB16" s="1"/>
    </row>
    <row r="17" spans="1:80" ht="19.5" customHeight="1" hidden="1">
      <c r="A17" s="74">
        <v>853</v>
      </c>
      <c r="B17" s="107">
        <v>85395</v>
      </c>
      <c r="C17" s="107">
        <v>2310</v>
      </c>
      <c r="D17" s="74"/>
      <c r="E17" s="74"/>
      <c r="F17" s="74">
        <f aca="true" t="shared" si="1" ref="E17:F22">E17</f>
        <v>0</v>
      </c>
      <c r="G17" s="74"/>
      <c r="H17" s="74"/>
      <c r="I17" s="74"/>
      <c r="J17" s="363"/>
      <c r="K17" s="74"/>
      <c r="BY17" s="1"/>
      <c r="BZ17" s="1"/>
      <c r="CA17" s="1"/>
      <c r="CB17" s="1"/>
    </row>
    <row r="18" spans="1:80" ht="19.5" customHeight="1" hidden="1">
      <c r="A18" s="74">
        <v>853</v>
      </c>
      <c r="B18" s="107">
        <v>85395</v>
      </c>
      <c r="C18" s="107">
        <v>2320</v>
      </c>
      <c r="D18" s="74">
        <f>1!E159</f>
        <v>0</v>
      </c>
      <c r="E18" s="74">
        <f>D18</f>
        <v>0</v>
      </c>
      <c r="F18" s="74">
        <f>E18</f>
        <v>0</v>
      </c>
      <c r="G18" s="74"/>
      <c r="H18" s="74"/>
      <c r="I18" s="74"/>
      <c r="J18" s="362"/>
      <c r="K18" s="74"/>
      <c r="BY18" s="1"/>
      <c r="BZ18" s="1"/>
      <c r="CA18" s="1"/>
      <c r="CB18" s="1"/>
    </row>
    <row r="19" spans="1:80" ht="19.5" customHeight="1">
      <c r="A19" s="74">
        <v>853</v>
      </c>
      <c r="B19" s="107">
        <v>85395</v>
      </c>
      <c r="C19" s="107">
        <v>2310</v>
      </c>
      <c r="D19" s="74">
        <f>1!E155</f>
        <v>926</v>
      </c>
      <c r="E19" s="74">
        <f>D19</f>
        <v>926</v>
      </c>
      <c r="F19" s="74">
        <f>E19</f>
        <v>926</v>
      </c>
      <c r="G19" s="74"/>
      <c r="H19" s="74"/>
      <c r="I19" s="74"/>
      <c r="J19" s="362"/>
      <c r="K19" s="74"/>
      <c r="BY19" s="1"/>
      <c r="BZ19" s="1"/>
      <c r="CA19" s="1"/>
      <c r="CB19" s="1"/>
    </row>
    <row r="20" spans="1:80" ht="19.5" customHeight="1">
      <c r="A20" s="74">
        <v>854</v>
      </c>
      <c r="B20" s="107">
        <v>85415</v>
      </c>
      <c r="C20" s="107">
        <v>2330</v>
      </c>
      <c r="D20" s="74">
        <f>1!E176</f>
        <v>15000</v>
      </c>
      <c r="E20" s="74">
        <f t="shared" si="1"/>
        <v>15000</v>
      </c>
      <c r="F20" s="74">
        <f t="shared" si="1"/>
        <v>15000</v>
      </c>
      <c r="G20" s="74"/>
      <c r="H20" s="74"/>
      <c r="I20" s="74"/>
      <c r="J20" s="362"/>
      <c r="K20" s="74"/>
      <c r="BY20" s="1"/>
      <c r="BZ20" s="1"/>
      <c r="CA20" s="1"/>
      <c r="CB20" s="1"/>
    </row>
    <row r="21" spans="1:80" ht="19.5" customHeight="1" hidden="1">
      <c r="A21" s="74"/>
      <c r="B21" s="107">
        <v>85395</v>
      </c>
      <c r="C21" s="107">
        <v>2008</v>
      </c>
      <c r="D21" s="74"/>
      <c r="E21" s="74">
        <f t="shared" si="1"/>
        <v>0</v>
      </c>
      <c r="F21" s="74">
        <f t="shared" si="1"/>
        <v>0</v>
      </c>
      <c r="G21" s="74"/>
      <c r="H21" s="74">
        <f>(2!L622+2!L623+2!L625+2!L626)*85%</f>
        <v>0</v>
      </c>
      <c r="I21" s="74"/>
      <c r="J21" s="74">
        <f>2!O611</f>
        <v>0</v>
      </c>
      <c r="K21" s="74"/>
      <c r="BY21" s="1"/>
      <c r="BZ21" s="1"/>
      <c r="CA21" s="1"/>
      <c r="CB21" s="1"/>
    </row>
    <row r="22" spans="1:80" ht="19.5" customHeight="1" hidden="1">
      <c r="A22" s="74"/>
      <c r="B22" s="107">
        <v>85395</v>
      </c>
      <c r="C22" s="107">
        <v>2009</v>
      </c>
      <c r="D22" s="74"/>
      <c r="E22" s="74">
        <f t="shared" si="1"/>
        <v>0</v>
      </c>
      <c r="F22" s="74">
        <f t="shared" si="1"/>
        <v>0</v>
      </c>
      <c r="G22" s="74"/>
      <c r="H22" s="74" t="e">
        <f>(2!L623+2!L626)*#REF!</f>
        <v>#REF!</v>
      </c>
      <c r="I22" s="74"/>
      <c r="J22" s="74" t="e">
        <f>2!O612*8!#REF!+5</f>
        <v>#REF!</v>
      </c>
      <c r="K22" s="74"/>
      <c r="BY22" s="1"/>
      <c r="BZ22" s="1"/>
      <c r="CA22" s="1"/>
      <c r="CB22" s="1"/>
    </row>
    <row r="23" spans="1:80" ht="19.5" customHeight="1" hidden="1">
      <c r="A23" s="74"/>
      <c r="B23" s="107">
        <v>85395</v>
      </c>
      <c r="C23" s="107">
        <v>6208</v>
      </c>
      <c r="D23" s="74">
        <f>1!E151</f>
        <v>0</v>
      </c>
      <c r="E23" s="74">
        <f>K23</f>
        <v>0</v>
      </c>
      <c r="F23" s="74"/>
      <c r="G23" s="74"/>
      <c r="H23" s="74"/>
      <c r="I23" s="74"/>
      <c r="J23" s="74"/>
      <c r="K23" s="74"/>
      <c r="BY23" s="1"/>
      <c r="BZ23" s="1"/>
      <c r="CA23" s="1"/>
      <c r="CB23" s="1"/>
    </row>
    <row r="24" spans="1:80" ht="19.5" customHeight="1" hidden="1">
      <c r="A24" s="74"/>
      <c r="B24" s="107">
        <v>85395</v>
      </c>
      <c r="C24" s="107">
        <v>6209</v>
      </c>
      <c r="D24" s="74">
        <f>1!E152</f>
        <v>0</v>
      </c>
      <c r="E24" s="74">
        <f>K24</f>
        <v>0</v>
      </c>
      <c r="F24" s="74"/>
      <c r="G24" s="74"/>
      <c r="H24" s="74"/>
      <c r="I24" s="74"/>
      <c r="J24" s="74"/>
      <c r="K24" s="74"/>
      <c r="BY24" s="1"/>
      <c r="BZ24" s="1"/>
      <c r="CA24" s="1"/>
      <c r="CB24" s="1"/>
    </row>
    <row r="25" spans="1:80" ht="19.5" customHeight="1" hidden="1">
      <c r="A25" s="74">
        <v>854</v>
      </c>
      <c r="B25" s="107">
        <v>85415</v>
      </c>
      <c r="C25" s="107">
        <v>2330</v>
      </c>
      <c r="D25" s="74">
        <f>1!F171</f>
        <v>0</v>
      </c>
      <c r="E25" s="74">
        <f>F25+K25</f>
        <v>0</v>
      </c>
      <c r="F25" s="74">
        <f>D25</f>
        <v>0</v>
      </c>
      <c r="G25" s="74"/>
      <c r="H25" s="74"/>
      <c r="I25" s="74"/>
      <c r="J25" s="74"/>
      <c r="K25" s="74"/>
      <c r="BY25" s="1"/>
      <c r="BZ25" s="1"/>
      <c r="CA25" s="1"/>
      <c r="CB25" s="1"/>
    </row>
    <row r="26" spans="1:80" ht="19.5" customHeight="1" hidden="1">
      <c r="A26" s="74"/>
      <c r="B26" s="107"/>
      <c r="C26" s="107"/>
      <c r="D26" s="74"/>
      <c r="E26" s="74"/>
      <c r="F26" s="74"/>
      <c r="G26" s="74"/>
      <c r="H26" s="74"/>
      <c r="I26" s="74"/>
      <c r="J26" s="74"/>
      <c r="K26" s="74"/>
      <c r="BY26" s="1"/>
      <c r="BZ26" s="1"/>
      <c r="CA26" s="1"/>
      <c r="CB26" s="1"/>
    </row>
    <row r="27" spans="1:76" s="110" customFormat="1" ht="24.75" customHeight="1">
      <c r="A27" s="809" t="s">
        <v>784</v>
      </c>
      <c r="B27" s="810"/>
      <c r="C27" s="811"/>
      <c r="D27" s="109">
        <f aca="true" t="shared" si="2" ref="D27:K27">SUM(D8:D26)</f>
        <v>1677640</v>
      </c>
      <c r="E27" s="109">
        <f t="shared" si="2"/>
        <v>1677640</v>
      </c>
      <c r="F27" s="109">
        <f t="shared" si="2"/>
        <v>355126</v>
      </c>
      <c r="G27" s="109">
        <f t="shared" si="2"/>
        <v>0</v>
      </c>
      <c r="H27" s="109">
        <f>SUM(H8:H20)</f>
        <v>0</v>
      </c>
      <c r="I27" s="109">
        <f t="shared" si="2"/>
        <v>0</v>
      </c>
      <c r="J27" s="109">
        <f>SUM(J8:J20)</f>
        <v>0</v>
      </c>
      <c r="K27" s="109">
        <f t="shared" si="2"/>
        <v>1322514</v>
      </c>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row>
  </sheetData>
  <sheetProtection/>
  <mergeCells count="11">
    <mergeCell ref="G5:I5"/>
    <mergeCell ref="K5:K6"/>
    <mergeCell ref="A27:C27"/>
    <mergeCell ref="A1:K1"/>
    <mergeCell ref="A4:A6"/>
    <mergeCell ref="B4:B6"/>
    <mergeCell ref="C4:C6"/>
    <mergeCell ref="D4:D6"/>
    <mergeCell ref="E4:E6"/>
    <mergeCell ref="F4:K4"/>
    <mergeCell ref="F5:F6"/>
  </mergeCells>
  <printOptions horizontalCentered="1"/>
  <pageMargins left="0.5905511811023623" right="0.5905511811023623" top="1.1023622047244095" bottom="0.3937007874015748" header="0.5118110236220472" footer="0.5118110236220472"/>
  <pageSetup horizontalDpi="600" verticalDpi="600" orientation="landscape" paperSize="9" scale="90" r:id="rId1"/>
  <headerFooter alignWithMargins="0">
    <oddHeader>&amp;RZałącznik nr 8
do uchwały Rady Powiatu 
nr XXXIV/210/10
z dnia 15.10.2010 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2010-10-20T07:01:01Z</cp:lastPrinted>
  <dcterms:created xsi:type="dcterms:W3CDTF">1998-12-09T13:02:10Z</dcterms:created>
  <dcterms:modified xsi:type="dcterms:W3CDTF">2010-10-20T07:01:03Z</dcterms:modified>
  <cp:category/>
  <cp:version/>
  <cp:contentType/>
  <cp:contentStatus/>
</cp:coreProperties>
</file>