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 r:id="rId22"/>
  </externalReferences>
  <definedNames/>
  <calcPr fullCalcOnLoad="1"/>
</workbook>
</file>

<file path=xl/sharedStrings.xml><?xml version="1.0" encoding="utf-8"?>
<sst xmlns="http://schemas.openxmlformats.org/spreadsheetml/2006/main" count="1756" uniqueCount="707">
  <si>
    <t xml:space="preserve">W TYM  INWESTYCJE  WYKAZANE   W  ZAŁĄCZNIKU  NR   2  DO  UCHWAŁY  BUDŻETOWEJ   NA  2009  ROK </t>
  </si>
  <si>
    <t>Termomodernizacja budynków warsztatów (ocieplenie ścian i połaci dachu, wymiana okien)- Z.SZ.  CKU  GRONOWO</t>
  </si>
  <si>
    <t xml:space="preserve">Kontynuacja robót budowlanych w obiektach zlokalizowanych przy ul. Hallera 25 w Chełmży zmierzających do adaptacji budynku dla potrzeb Placówki  Opiekuńczo-  Wychowawczej-  POW  GŁUCHOWO </t>
  </si>
  <si>
    <t>Opracowanie  projektu  budowlanego  pomieszczeń części  budynków  zlokalizowanych  przy  ul. Hallera   w  Chełmży  na  potrzeby  szkoły   Muzycznej (  wg  koncepcji  opracowanej   w  roku   2008   )-SZ.  MUZYCZNA  W  CHEŁMŻY .</t>
  </si>
  <si>
    <t>J,W</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</si>
  <si>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</si>
  <si>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Łączne koszty finansowe   (2009-2011)</t>
  </si>
  <si>
    <t>Zadania inwestycyjne w 2009 r.</t>
  </si>
  <si>
    <t xml:space="preserve">Planowane wydatki 2009 </t>
  </si>
  <si>
    <r>
      <t xml:space="preserve">rok budżetowy 2009 </t>
    </r>
    <r>
      <rPr>
        <b/>
        <sz val="10"/>
        <rFont val="Arial CE"/>
        <family val="0"/>
      </rPr>
      <t>(8+9+10+11)</t>
    </r>
  </si>
  <si>
    <t>Wykończenie  budynku  zajmowanego   na  potrzeby  Starostwa  Powiatowego na  ul. Towarowej</t>
  </si>
  <si>
    <t>Wykończenie  budynku  zajmowanego   na  potrzeby  zasobu  geodezyjnego na  ul. Towarowej</t>
  </si>
  <si>
    <t>Wykończenie  budynku  zajmowanego   na  potrzeby  PCPR  w  Toruniu na  ul. Towarowej</t>
  </si>
  <si>
    <t>Wykończenie  budynku  zajmowanego   na  potrzeby  Starostwa  powiatowego na  ul. Towarowej</t>
  </si>
  <si>
    <t>Wykończenie  budynku  zajmowanego   na  potrzeby  zasobu   geodezyjnego na  ul. Towarowej</t>
  </si>
  <si>
    <t>Wykończenie  budynku  zajmowanego   na  potrzeby  PCPR   w  Toruniu na  ul. Towarowej</t>
  </si>
  <si>
    <t>Modernizacja  oczyszczalni ścieków  -  Z.SZ.  CKU  GRONOWO</t>
  </si>
  <si>
    <t xml:space="preserve">dodatkowe  wynagrodzenie  roczne  </t>
  </si>
  <si>
    <t>2008  rok</t>
  </si>
  <si>
    <t xml:space="preserve">2009  rok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</si>
  <si>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</si>
  <si>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</si>
  <si>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</si>
  <si>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</si>
  <si>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</si>
  <si>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</si>
  <si>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</si>
  <si>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 xml:space="preserve">lata </t>
  </si>
  <si>
    <t>Wypłaty z tytułu gwarancji i poręczeń</t>
  </si>
  <si>
    <t>Rozliczenia z tytułu poręczeń i gwarancji udzielonych przez Skarb Państwa lub jednostkę samorządu terytorialnego  </t>
  </si>
  <si>
    <t>Z.SZ. CKU Gronowo</t>
  </si>
  <si>
    <t>Baza  sportowa  dla  Z.SZ.   CKU  w  Gronowie  i  środowiska  lokalnego  oraz  zaplecze   gastronomiczne 2011-2014</t>
  </si>
  <si>
    <t xml:space="preserve">Limity wydatków na wieloletnie programy inwestycyjne w latach 2009 - 2011  r.i  lata  następne </t>
  </si>
  <si>
    <t xml:space="preserve">lata następne </t>
  </si>
  <si>
    <t>Regały  przesuwne   dla  potrzeb   zasobu   geodezyjnego,skaner,ksero,inne</t>
  </si>
  <si>
    <t xml:space="preserve">Budowa  chodników </t>
  </si>
  <si>
    <t>9.</t>
  </si>
  <si>
    <t>Poprawa  bezpieczeństwa  na   drogach   publicznych  poprzez wybudowanie   dróg  rowerowych</t>
  </si>
  <si>
    <t xml:space="preserve">Przebudowa mostu drogowego  na  drodze  powiatowej    nr  2005 Łubianka  Czarne  Błoto   w  m. Zamek  Bierzgłowski  w  km  5+247  na  rzece  Struga  Toruńska   wraz  z  dojazdami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</si>
  <si>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</si>
  <si>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</si>
  <si>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</si>
  <si>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</si>
  <si>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</si>
  <si>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</si>
  <si>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</si>
  <si>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</si>
  <si>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11.</t>
  </si>
  <si>
    <t>12.</t>
  </si>
  <si>
    <t>Projekt 9.4-  UE</t>
  </si>
  <si>
    <t>6068/6069</t>
  </si>
  <si>
    <t>Wydatki  UE  w  kwocie   4.081.832 zł    to  kwota  z  zał.  Nr   2  w  wysokości  3.926.832  i  z  zał  nr.  13   kwota  155.000  zł  .</t>
  </si>
  <si>
    <t xml:space="preserve">Priorytet  IX -  Rozwój  wykształcenia  i  kompetencji   w  regionach  .  Działanie  9.3  Upowszechnianie formalnego  kształcenia  ustawicznego  Tytuł  projektu  : Nigdy  nie  jest   za  późno  na  naukę -  daj  sobie  drugą  szansę </t>
  </si>
  <si>
    <t>Planowane w roku budżetowym   2009</t>
  </si>
  <si>
    <t xml:space="preserve">od  kwoty  obligacji </t>
  </si>
  <si>
    <t>odsetki (  8% )</t>
  </si>
  <si>
    <t>dochody własne jst,</t>
  </si>
  <si>
    <t>dotacje rozwojowe</t>
  </si>
  <si>
    <t>obligacje,wolne środki
i pożyczki</t>
  </si>
  <si>
    <t>Droga 2037 Dobrzejewice-Świętosław-Mazowsze od km 0+000 do km 7+432 oraz  od  km 10+982 do  km 11+551 na dł.8,001 km</t>
  </si>
  <si>
    <t>Droga 2004 Łążyn-Zarośla  Cienkie -Smolno od km 0+550 do km 1+135 na dł. 585 km</t>
  </si>
  <si>
    <t>Droga 2031 Zelgno- Bezdół -Zelgno od km 2+460 do km 2+860 na dł.0,400 km</t>
  </si>
  <si>
    <t>Standaryzacja  DPS</t>
  </si>
  <si>
    <t xml:space="preserve">Dotacje celowe otrzymane    z budżetu państwa na   inwestycje  i  zakupy  inwestycyjnE  własne powiatu </t>
  </si>
  <si>
    <t xml:space="preserve">Pomoc  matrerialna  dla  uczniów </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</si>
  <si>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</si>
  <si>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</si>
  <si>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5a</t>
  </si>
  <si>
    <t xml:space="preserve">„Adaptacja  części  pomieszczeń  na   sale   edukacyjne   w  warsztatach  szkolnych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</si>
  <si>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</si>
  <si>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wynagrodenia osobowe</t>
  </si>
  <si>
    <t>z tego: 2009 r.</t>
  </si>
  <si>
    <t>20010 r.</t>
  </si>
  <si>
    <t>2011 r.</t>
  </si>
  <si>
    <t>2012 r.-2013***</t>
  </si>
  <si>
    <t xml:space="preserve">Dotacje celowe otrzymane    z budżetu państwa na   inwestycje i  zakupy  inwestycyjne    z  zakresu   administracji  rządowej   oraz  inne  zadania  zlecone   ustawami realizowane  przez  powiat </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</si>
  <si>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</si>
  <si>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</si>
  <si>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</si>
  <si>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</si>
  <si>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Przełożenie pokrycia dachu na segmencie "A" budynku -  DPS   WIELKA  NIESZAWKA ,  termoizolacja  obiektu </t>
  </si>
  <si>
    <t>Przebudowa drogi powiatowej nr 2021C Świerczynki ÷ Kowróz ÷ Ostaszewo w km 5+321÷6+822 na dł. 1,501 km</t>
  </si>
  <si>
    <t>Przebudowa drogi powiatowej nr 2023C Chełmża ÷ Świętosław ÷ Węgorzyn w km 1+236÷3+036 na dł. 1,800 km</t>
  </si>
  <si>
    <t>Przebudowa drogi powiatowej nr 2019C Chełmża ÷ Brąchnowo ÷ Pigża w km 7+097÷9+197 na dł. 2,100 km</t>
  </si>
  <si>
    <t xml:space="preserve">  Przebudowa drogi powiatowej nr 2132C Sitno ÷ Działyń ÷ Mazowsze ÷ Czernikowo w km 7+400÷9+025  na dł. 1,625 km                                            </t>
  </si>
  <si>
    <t>Przebudowa drogi  powiatowej  nr  2019  C - Chełmża-Brąchnowo-Pigża od km 9+197 do km 10+743 -  na dł. 1,546  km</t>
  </si>
  <si>
    <t>Przebudowa ciągu  komunikacyjnego ;drogi  powiatowej   nr 2132 Sitno-Działyń - Mazowsze-Czernikowo w  km  6+259 do  km  16+725 ;  drogi nr 2044  Czernikowo-Bobrowniki-Włocławek w  km  0+815 do  km 5+090 na  łączną długość  14,741   km .</t>
  </si>
  <si>
    <t>Koszty postepowania sądowego i prokuratorskiego</t>
  </si>
  <si>
    <t xml:space="preserve">Urzędy  naczelnych  i  centralnych  organów  administacji  rzadowej </t>
  </si>
  <si>
    <t xml:space="preserve">Dotacje celowe przekazane dla  powiatu  e  na zadania bieżące realizowane na podstawie porozumień między jednostkami samorządu terytorialnego </t>
  </si>
  <si>
    <t xml:space="preserve">Centrala  telefoniczna </t>
  </si>
  <si>
    <t xml:space="preserve">Pozostała   dzialalność </t>
  </si>
  <si>
    <t>2.8</t>
  </si>
  <si>
    <t xml:space="preserve">„ Majówka  Europejska ”   ,  w  ramach   Programu  Operacyjnego   Pomoc  Techniczna  2007-2013  </t>
  </si>
  <si>
    <t xml:space="preserve">PLAN  2009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</si>
  <si>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</si>
  <si>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</si>
  <si>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</si>
  <si>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</si>
  <si>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</si>
  <si>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</si>
  <si>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</si>
  <si>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</si>
  <si>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</si>
  <si>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</si>
  <si>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</si>
  <si>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</si>
  <si>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</si>
  <si>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</si>
  <si>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</si>
  <si>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</si>
  <si>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</si>
  <si>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</si>
  <si>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</si>
  <si>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</si>
  <si>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</si>
  <si>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</si>
  <si>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</si>
  <si>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</si>
  <si>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</si>
  <si>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</si>
  <si>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</si>
  <si>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</si>
  <si>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</si>
  <si>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</si>
  <si>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6058/6059</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</si>
  <si>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</si>
  <si>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</si>
  <si>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</si>
  <si>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</si>
  <si>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</si>
  <si>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</si>
  <si>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</si>
  <si>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</si>
  <si>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</si>
  <si>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</si>
  <si>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</si>
  <si>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</si>
  <si>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</si>
  <si>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</si>
  <si>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</si>
  <si>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</si>
  <si>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</si>
  <si>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</si>
  <si>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</si>
  <si>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</si>
  <si>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</si>
  <si>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</si>
  <si>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</si>
  <si>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</si>
  <si>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</si>
  <si>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</si>
  <si>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</si>
  <si>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</si>
  <si>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</si>
  <si>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</si>
  <si>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</si>
  <si>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</si>
  <si>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</si>
  <si>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</si>
  <si>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</si>
  <si>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</si>
  <si>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</si>
  <si>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</si>
  <si>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</si>
  <si>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</si>
  <si>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</si>
  <si>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</si>
  <si>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</si>
  <si>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</si>
  <si>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</si>
  <si>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Wydatki na  zakupy inwestycyjne jednostek budżetowych</t>
  </si>
  <si>
    <t xml:space="preserve">Filharmonie , orkiestry , chóry ,  kapele </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</si>
  <si>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</si>
  <si>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</si>
  <si>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</si>
  <si>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</si>
  <si>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</si>
  <si>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</si>
  <si>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</si>
  <si>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</si>
  <si>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</si>
  <si>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</si>
  <si>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</si>
  <si>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</si>
  <si>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</si>
  <si>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</si>
  <si>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</si>
  <si>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</si>
  <si>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</si>
  <si>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</si>
  <si>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</si>
  <si>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</si>
  <si>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</si>
  <si>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</si>
  <si>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</si>
  <si>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</si>
  <si>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</si>
  <si>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</si>
  <si>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</si>
  <si>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</si>
  <si>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</si>
  <si>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</si>
  <si>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</si>
  <si>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</si>
  <si>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</si>
  <si>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</si>
  <si>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</si>
  <si>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</si>
  <si>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</si>
  <si>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</si>
  <si>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</si>
  <si>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</si>
  <si>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</si>
  <si>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</si>
  <si>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</si>
  <si>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</si>
  <si>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</si>
  <si>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</si>
  <si>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</si>
  <si>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</si>
  <si>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</si>
  <si>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</si>
  <si>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</si>
  <si>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</si>
  <si>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</si>
  <si>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</si>
  <si>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</si>
  <si>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</si>
  <si>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</si>
  <si>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</si>
  <si>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</si>
  <si>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</si>
  <si>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</si>
  <si>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</si>
  <si>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</si>
  <si>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</si>
  <si>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</si>
  <si>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</si>
  <si>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</si>
  <si>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</si>
  <si>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</si>
  <si>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</si>
  <si>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</si>
  <si>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</si>
  <si>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</si>
  <si>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</si>
  <si>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</si>
  <si>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</si>
  <si>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</si>
  <si>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</si>
  <si>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</si>
  <si>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</si>
  <si>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</si>
  <si>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</si>
  <si>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</si>
  <si>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</si>
  <si>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</si>
  <si>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</si>
  <si>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</si>
  <si>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</si>
  <si>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</si>
  <si>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</si>
  <si>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</si>
  <si>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</si>
  <si>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</si>
  <si>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</si>
  <si>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</si>
  <si>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</si>
  <si>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</si>
  <si>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</si>
  <si>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</si>
  <si>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</si>
  <si>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</si>
  <si>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</si>
  <si>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Wynagro-
dzenia</t>
  </si>
  <si>
    <t>Gospodarki Zasobem Geodezyjnym i Kartograficznym</t>
  </si>
  <si>
    <t>pożyczek</t>
  </si>
  <si>
    <t>kredytów</t>
  </si>
  <si>
    <t>obligacji</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</si>
  <si>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</si>
  <si>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</si>
  <si>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</si>
  <si>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</si>
  <si>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</si>
  <si>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</si>
  <si>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</si>
  <si>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</si>
  <si>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</si>
  <si>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</si>
  <si>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</si>
  <si>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</si>
  <si>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</si>
  <si>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</si>
  <si>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</si>
  <si>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</si>
  <si>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</si>
  <si>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</si>
  <si>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</si>
  <si>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</si>
  <si>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</si>
  <si>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</si>
  <si>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</si>
  <si>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</si>
  <si>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</si>
  <si>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</si>
  <si>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</si>
  <si>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</si>
  <si>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</si>
  <si>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</si>
  <si>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</si>
  <si>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</si>
  <si>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</si>
  <si>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</si>
  <si>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</si>
  <si>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</si>
  <si>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</si>
  <si>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</si>
  <si>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</si>
  <si>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</si>
  <si>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</si>
  <si>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</si>
  <si>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</si>
  <si>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</si>
  <si>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</si>
  <si>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</si>
  <si>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</si>
  <si>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</si>
  <si>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</si>
  <si>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</si>
  <si>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</si>
  <si>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</si>
  <si>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</si>
  <si>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</si>
  <si>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</si>
  <si>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</si>
  <si>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</si>
  <si>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</si>
  <si>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</si>
  <si>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</si>
  <si>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</si>
  <si>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</si>
  <si>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</si>
  <si>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</si>
  <si>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</si>
  <si>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</si>
  <si>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</si>
  <si>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</si>
  <si>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</si>
  <si>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</si>
  <si>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</si>
  <si>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</si>
  <si>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</si>
  <si>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</si>
  <si>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</si>
  <si>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</si>
  <si>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</si>
  <si>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</si>
  <si>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</si>
  <si>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</si>
  <si>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</si>
  <si>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</si>
  <si>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</si>
  <si>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</si>
  <si>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</si>
  <si>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</si>
  <si>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</si>
  <si>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</si>
  <si>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</si>
  <si>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</si>
  <si>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</si>
  <si>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</si>
  <si>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</si>
  <si>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</si>
  <si>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</si>
  <si>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</si>
  <si>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</si>
  <si>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</si>
  <si>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</si>
  <si>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</si>
  <si>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</si>
  <si>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</si>
  <si>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</si>
  <si>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</si>
  <si>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</si>
  <si>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</si>
  <si>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</si>
  <si>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</si>
  <si>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</si>
  <si>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</si>
  <si>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</si>
  <si>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</si>
  <si>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</si>
  <si>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</si>
  <si>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</si>
  <si>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</si>
  <si>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</si>
  <si>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</si>
  <si>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</si>
  <si>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</si>
  <si>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</si>
  <si>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</si>
  <si>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</si>
  <si>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</si>
  <si>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</si>
  <si>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Dotacje celowe otrzymane    z budżetu państwa na realizacje  inwestycji  i  zakupów  inwestycyjnych  własnych powiatu </t>
  </si>
  <si>
    <t xml:space="preserve">Razem  dochody </t>
  </si>
  <si>
    <t>853-85395</t>
  </si>
  <si>
    <t>853-85333</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</si>
  <si>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</si>
  <si>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</si>
  <si>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</si>
  <si>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</si>
  <si>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</si>
  <si>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</si>
  <si>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</si>
  <si>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</si>
  <si>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</si>
  <si>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</si>
  <si>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</si>
  <si>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</si>
  <si>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</si>
  <si>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</si>
  <si>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</si>
  <si>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</si>
  <si>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</si>
  <si>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</si>
  <si>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Droga 2009 Brzeźno-Młyniec-Lubicz Górny od km 0+000 do 9+590 na dł. 9,590 km</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</si>
  <si>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</si>
  <si>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</si>
  <si>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</si>
  <si>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</si>
  <si>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</si>
  <si>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</si>
  <si>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</si>
  <si>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</si>
  <si>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</si>
  <si>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</si>
  <si>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</si>
  <si>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</si>
  <si>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</si>
  <si>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</si>
  <si>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</si>
  <si>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</si>
  <si>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</si>
  <si>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</si>
  <si>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</si>
  <si>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</si>
  <si>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</si>
  <si>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</si>
  <si>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</si>
  <si>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</si>
  <si>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</si>
  <si>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</si>
  <si>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</si>
  <si>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</si>
  <si>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</si>
  <si>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</si>
  <si>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</si>
  <si>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</si>
  <si>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</si>
  <si>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</si>
  <si>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</si>
  <si>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</si>
  <si>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</si>
  <si>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</si>
  <si>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</si>
  <si>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</si>
  <si>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</si>
  <si>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</si>
  <si>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</si>
  <si>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</si>
  <si>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</si>
  <si>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</si>
  <si>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</si>
  <si>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</si>
  <si>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</si>
  <si>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</si>
  <si>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</si>
  <si>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</si>
  <si>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</si>
  <si>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</si>
  <si>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</si>
  <si>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</si>
  <si>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</si>
  <si>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</si>
  <si>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</si>
  <si>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</si>
  <si>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</si>
  <si>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</si>
  <si>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</si>
  <si>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</si>
  <si>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</si>
  <si>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</si>
  <si>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</si>
  <si>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</si>
  <si>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</si>
  <si>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</si>
  <si>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</si>
  <si>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</si>
  <si>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</si>
  <si>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</si>
  <si>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</si>
  <si>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</si>
  <si>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</si>
  <si>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</si>
  <si>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</si>
  <si>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</si>
  <si>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</si>
  <si>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</si>
  <si>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</si>
  <si>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</si>
  <si>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</si>
  <si>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</si>
  <si>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</si>
  <si>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</si>
  <si>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</si>
  <si>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</si>
  <si>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</si>
  <si>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</si>
  <si>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</si>
  <si>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</si>
  <si>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</si>
  <si>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</si>
  <si>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</si>
  <si>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</si>
  <si>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</si>
  <si>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</si>
  <si>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</si>
  <si>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</si>
  <si>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</si>
  <si>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</si>
  <si>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</si>
  <si>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</si>
  <si>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</si>
  <si>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</si>
  <si>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</si>
  <si>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</si>
  <si>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</si>
  <si>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</si>
  <si>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</si>
  <si>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</si>
  <si>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</si>
  <si>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</si>
  <si>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</si>
  <si>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</si>
  <si>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</si>
  <si>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</si>
  <si>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</si>
  <si>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</si>
  <si>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</si>
  <si>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</si>
  <si>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</si>
  <si>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</si>
  <si>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</si>
  <si>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</si>
  <si>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</si>
  <si>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</si>
  <si>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</si>
  <si>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</si>
  <si>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</si>
  <si>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</si>
  <si>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</si>
  <si>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</si>
  <si>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</si>
  <si>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</si>
  <si>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</si>
  <si>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</si>
  <si>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</si>
  <si>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</si>
  <si>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</si>
  <si>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</si>
  <si>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</si>
  <si>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</si>
  <si>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</si>
  <si>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</si>
  <si>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</si>
  <si>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</si>
  <si>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</si>
  <si>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</si>
  <si>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</si>
  <si>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</si>
  <si>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</si>
  <si>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</si>
  <si>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</si>
  <si>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</si>
  <si>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</si>
  <si>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</si>
  <si>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</si>
  <si>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</si>
  <si>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</si>
  <si>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</si>
  <si>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</si>
  <si>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</si>
  <si>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</si>
  <si>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</si>
  <si>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</si>
  <si>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</si>
  <si>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</si>
  <si>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</si>
  <si>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</si>
  <si>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</si>
  <si>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</si>
  <si>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</si>
  <si>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</si>
  <si>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</si>
  <si>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</si>
  <si>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</si>
  <si>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</si>
  <si>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</si>
  <si>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</si>
  <si>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</si>
  <si>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</si>
  <si>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</si>
  <si>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</si>
  <si>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</si>
  <si>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</si>
  <si>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</si>
  <si>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</si>
  <si>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</si>
  <si>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</si>
  <si>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</si>
  <si>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</si>
  <si>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</si>
  <si>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</si>
  <si>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</si>
  <si>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</si>
  <si>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</si>
  <si>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</si>
  <si>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</si>
  <si>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</si>
  <si>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</si>
  <si>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</si>
  <si>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</si>
  <si>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</si>
  <si>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</si>
  <si>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</si>
  <si>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</si>
  <si>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</si>
  <si>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</si>
  <si>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</si>
  <si>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</si>
  <si>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</si>
  <si>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</si>
  <si>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</si>
  <si>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</si>
  <si>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</si>
  <si>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</si>
  <si>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</si>
  <si>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</si>
  <si>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Zakup  energii</t>
  </si>
  <si>
    <t>4208/4209</t>
  </si>
  <si>
    <t xml:space="preserve">zakup  materiałów  i  wyposażenia </t>
  </si>
  <si>
    <t>Zakup usług dostępu do  sieci internet</t>
  </si>
  <si>
    <t>Koszty postępowania sadowego i prokuratorskiego</t>
  </si>
  <si>
    <t xml:space="preserve">Dotacje  przekazane  gminom   na  zadania  bieżące  realizowane  na  podstawie  porozumień (  umów  ) między   j.s.t </t>
  </si>
  <si>
    <t xml:space="preserve">Dotacje  przekazane  gminom  na  zadania  bieżące  realizowane  na  podstawie  porozumień (  umów  ) między   j.s.t </t>
  </si>
  <si>
    <t>STAROSTWO POWIATOWE  i   DPS</t>
  </si>
  <si>
    <t>STAROSTWO POWIATOWE  I  DPS</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</si>
  <si>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</si>
  <si>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</si>
  <si>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</si>
  <si>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</si>
  <si>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</si>
  <si>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</si>
  <si>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</si>
  <si>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Dochody budżetu powiatu na 2009 r.</t>
  </si>
  <si>
    <t>Wydatki budżetu powiatu na  2009 r.</t>
  </si>
  <si>
    <t>Plan
na 2009 r.
(6+13)</t>
  </si>
  <si>
    <t>Załącznik nr 17 do Uchwały Rady  Powiatu Toruńskiego   w sprawie   Budżetu Powiatu Toruńskiego na rok 2009</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</si>
  <si>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</si>
  <si>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</si>
  <si>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</si>
  <si>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</si>
  <si>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</si>
  <si>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</si>
  <si>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</si>
  <si>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</si>
  <si>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</si>
  <si>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</si>
  <si>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Dotacje celowe otrzymane  z  gminy na zadania bieżące realizowane na podstawie porozumień (umów) między j.s.t.</t>
  </si>
  <si>
    <t>OBRONA NARODOWA</t>
  </si>
  <si>
    <t>Pozostałe  wydatki  obronne</t>
  </si>
  <si>
    <t>.752</t>
  </si>
  <si>
    <t>.75212</t>
  </si>
  <si>
    <t xml:space="preserve">Wynagrodzenia osobowe członków  korpusu  służby  cywilnej </t>
  </si>
  <si>
    <t>OBRONA  NARODOWA</t>
  </si>
  <si>
    <t>Plan na 2009 r.</t>
  </si>
  <si>
    <t>Dochody i wydatki związane z realizacją zadań z zakresu administracji rządowej i innych zadań zleconych odrębnymi ustawami w 2009 r.</t>
  </si>
  <si>
    <t>Dochody i wydatki związane z realizacją zadań z zakresu administracji rządowej wykonywanych na podstawie porozumień z organami administracji rządowej w 2009 r.</t>
  </si>
  <si>
    <t>Dochody i wydatki związane z realizacją zadań wykonywanych na podstawie porozumień (umów) między jednostkami samorządu terytorialnego w 2009 r.</t>
  </si>
  <si>
    <t xml:space="preserve"> oraz dochodów i wydatków dochodów własnych jednostek budżetowych na 2009 r.</t>
  </si>
  <si>
    <t>Dotacje podmiotowe   w 2009 r.</t>
  </si>
  <si>
    <t>Dotacje celowe na zadania własne powiatu realizowane przez podmioty należące
i nie należące do sektora finansów publicznych w 2009 r.</t>
  </si>
  <si>
    <t>Prognoza kwoty długu i spłat na rok 2009 i lata następne</t>
  </si>
  <si>
    <t>Przychody i rozchody budżetu w 2009 r.</t>
  </si>
  <si>
    <t>Kwota
2009 r.</t>
  </si>
  <si>
    <t>Kwota długu na dzień 31.12.2008</t>
  </si>
  <si>
    <t>obligacje  komunalne   z  roku  2009</t>
  </si>
  <si>
    <t>Rozliczenia
z budżetem
z tytułu wpłat nadwyżek środków za 2009 r.</t>
  </si>
  <si>
    <t>Dotacje   rozwojowe   2009  r.</t>
  </si>
  <si>
    <t>rok budżetowy 2009 (8+9+10+11)</t>
  </si>
  <si>
    <t>2023-Chełmża-Świętosław-Węgorzyn  0+000 do 1+236  na  dł. 1,236 km</t>
  </si>
  <si>
    <t>852  i  PFOŚIGW</t>
  </si>
  <si>
    <t>STAROSTWO POWIATOWE</t>
  </si>
  <si>
    <t xml:space="preserve">Sprzęt  informatyczny  z   oprogramowaniem ,  inne  biurowe,  </t>
  </si>
  <si>
    <t>w  tym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</si>
</sst>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s>
  <fonts count="63">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b/>
      <sz val="12"/>
      <name val="Times New Roman"/>
      <family val="1"/>
    </font>
    <font>
      <b/>
      <u val="single"/>
      <sz val="12"/>
      <name val="Arial CE"/>
      <family val="2"/>
    </font>
    <font>
      <b/>
      <u val="single"/>
      <sz val="10"/>
      <name val="Arial"/>
      <family val="2"/>
    </font>
    <font>
      <b/>
      <sz val="10"/>
      <name val="Times New Roman"/>
      <family val="1"/>
    </font>
    <font>
      <b/>
      <u val="single"/>
      <sz val="11"/>
      <name val="Arial"/>
      <family val="2"/>
    </font>
    <font>
      <sz val="4"/>
      <name val="Arial CE"/>
      <family val="0"/>
    </font>
    <font>
      <sz val="12"/>
      <color indexed="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6"/>
      <color indexed="8"/>
      <name val="Arial"/>
      <family val="2"/>
    </font>
    <font>
      <sz val="11"/>
      <name val="Calibri"/>
      <family val="2"/>
    </font>
    <font>
      <b/>
      <u val="single"/>
      <sz val="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7" borderId="1" applyNumberFormat="0" applyAlignment="0" applyProtection="0"/>
    <xf numFmtId="0" fontId="46" fillId="20" borderId="2" applyNumberFormat="0" applyAlignment="0" applyProtection="0"/>
    <xf numFmtId="0" fontId="4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48" fillId="0" borderId="3" applyNumberFormat="0" applyFill="0" applyAlignment="0" applyProtection="0"/>
    <xf numFmtId="0" fontId="49" fillId="21"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22" borderId="0" applyNumberFormat="0" applyBorder="0" applyAlignment="0" applyProtection="0"/>
    <xf numFmtId="0" fontId="9" fillId="0" borderId="0">
      <alignment/>
      <protection/>
    </xf>
    <xf numFmtId="0" fontId="54" fillId="20"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 borderId="0" applyNumberFormat="0" applyBorder="0" applyAlignment="0" applyProtection="0"/>
  </cellStyleXfs>
  <cellXfs count="552">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20"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20"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20"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0"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1" fontId="8" fillId="0" borderId="10" xfId="0" applyNumberFormat="1" applyFont="1" applyBorder="1" applyAlignment="1">
      <alignment vertical="center" wrapText="1" shrinkToFit="1"/>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1"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24" borderId="19" xfId="0" applyFont="1" applyFill="1" applyBorder="1" applyAlignment="1">
      <alignment shrinkToFit="1"/>
    </xf>
    <xf numFmtId="0" fontId="6" fillId="24" borderId="20" xfId="0" applyFont="1" applyFill="1" applyBorder="1" applyAlignment="1">
      <alignment shrinkToFit="1"/>
    </xf>
    <xf numFmtId="1" fontId="6" fillId="24" borderId="20" xfId="0" applyNumberFormat="1" applyFont="1" applyFill="1" applyBorder="1" applyAlignment="1">
      <alignment/>
    </xf>
    <xf numFmtId="1" fontId="0" fillId="24" borderId="21" xfId="0" applyNumberFormat="1" applyFont="1" applyFill="1" applyBorder="1" applyAlignment="1">
      <alignment wrapText="1"/>
    </xf>
    <xf numFmtId="3" fontId="6" fillId="24" borderId="20" xfId="0" applyNumberFormat="1" applyFont="1" applyFill="1" applyBorder="1" applyAlignment="1">
      <alignment wrapText="1" shrinkToFit="1"/>
    </xf>
    <xf numFmtId="0" fontId="8" fillId="0" borderId="0" xfId="0" applyFont="1" applyAlignment="1">
      <alignment vertical="center"/>
    </xf>
    <xf numFmtId="3" fontId="4" fillId="25" borderId="10" xfId="0" applyNumberFormat="1" applyFont="1" applyFill="1" applyBorder="1" applyAlignment="1">
      <alignment vertical="center"/>
    </xf>
    <xf numFmtId="0" fontId="17" fillId="0" borderId="10" xfId="0" applyFont="1" applyBorder="1" applyAlignment="1">
      <alignment/>
    </xf>
    <xf numFmtId="0" fontId="0" fillId="0" borderId="22" xfId="0" applyBorder="1" applyAlignment="1">
      <alignment horizontal="center" vertical="center"/>
    </xf>
    <xf numFmtId="3" fontId="0" fillId="0" borderId="22"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left" vertical="center" indent="1"/>
    </xf>
    <xf numFmtId="3" fontId="0" fillId="0" borderId="23" xfId="0" applyNumberFormat="1" applyBorder="1" applyAlignment="1">
      <alignment vertical="center"/>
    </xf>
    <xf numFmtId="3" fontId="0" fillId="0" borderId="23" xfId="0" applyNumberFormat="1" applyBorder="1" applyAlignment="1">
      <alignment horizontal="center" vertical="center"/>
    </xf>
    <xf numFmtId="0" fontId="4" fillId="0" borderId="24" xfId="0" applyFont="1" applyBorder="1" applyAlignment="1">
      <alignment horizontal="center" vertical="center"/>
    </xf>
    <xf numFmtId="3" fontId="4" fillId="0" borderId="25" xfId="0" applyNumberFormat="1" applyFont="1" applyBorder="1" applyAlignment="1">
      <alignment vertical="center"/>
    </xf>
    <xf numFmtId="0" fontId="1" fillId="0" borderId="14" xfId="0" applyFont="1" applyBorder="1" applyAlignment="1">
      <alignment horizontal="center" vertical="center"/>
    </xf>
    <xf numFmtId="0" fontId="0" fillId="0" borderId="23" xfId="0" applyBorder="1" applyAlignment="1">
      <alignment horizontal="center" vertical="center"/>
    </xf>
    <xf numFmtId="0" fontId="4" fillId="0" borderId="25" xfId="0" applyFont="1" applyBorder="1" applyAlignment="1">
      <alignment vertical="center"/>
    </xf>
    <xf numFmtId="3" fontId="4" fillId="0" borderId="26" xfId="0" applyNumberFormat="1" applyFont="1" applyBorder="1" applyAlignment="1">
      <alignment horizontal="center" vertical="center"/>
    </xf>
    <xf numFmtId="1" fontId="8" fillId="0" borderId="0" xfId="0" applyNumberFormat="1" applyFont="1" applyAlignment="1">
      <alignment horizontal="left"/>
    </xf>
    <xf numFmtId="3" fontId="1" fillId="2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20"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0" xfId="0" applyFont="1" applyBorder="1" applyAlignment="1">
      <alignment vertical="center"/>
    </xf>
    <xf numFmtId="3" fontId="27" fillId="20" borderId="10" xfId="0" applyNumberFormat="1" applyFont="1" applyFill="1" applyBorder="1" applyAlignment="1">
      <alignment horizontal="center" vertical="center"/>
    </xf>
    <xf numFmtId="3" fontId="11" fillId="0" borderId="10" xfId="0" applyNumberFormat="1" applyFont="1" applyBorder="1" applyAlignment="1">
      <alignment horizontal="right" vertical="top" wrapText="1"/>
    </xf>
    <xf numFmtId="0" fontId="32" fillId="0" borderId="10" xfId="52" applyFont="1" applyBorder="1" applyAlignment="1">
      <alignment wrapText="1"/>
      <protection/>
    </xf>
    <xf numFmtId="0" fontId="11" fillId="20" borderId="10" xfId="52" applyFont="1" applyFill="1" applyBorder="1">
      <alignment/>
      <protection/>
    </xf>
    <xf numFmtId="0" fontId="11" fillId="20" borderId="10" xfId="52" applyFont="1" applyFill="1" applyBorder="1" applyAlignment="1">
      <alignment/>
      <protection/>
    </xf>
    <xf numFmtId="3" fontId="14" fillId="20" borderId="10" xfId="0" applyNumberFormat="1" applyFont="1" applyFill="1" applyBorder="1" applyAlignment="1">
      <alignment horizontal="right" vertical="top" wrapText="1"/>
    </xf>
    <xf numFmtId="3" fontId="11" fillId="20" borderId="10" xfId="52" applyNumberFormat="1" applyFont="1" applyFill="1" applyBorder="1">
      <alignment/>
      <protection/>
    </xf>
    <xf numFmtId="3" fontId="4" fillId="0" borderId="10" xfId="0" applyNumberFormat="1" applyFont="1" applyBorder="1" applyAlignment="1">
      <alignment/>
    </xf>
    <xf numFmtId="3" fontId="17" fillId="0" borderId="10" xfId="0" applyNumberFormat="1" applyFont="1" applyBorder="1" applyAlignment="1">
      <alignment horizontal="right" vertical="center" wrapText="1"/>
    </xf>
    <xf numFmtId="0" fontId="0" fillId="0" borderId="22" xfId="0" applyFill="1" applyBorder="1" applyAlignment="1">
      <alignment horizontal="center" vertical="center"/>
    </xf>
    <xf numFmtId="3" fontId="0" fillId="0" borderId="22" xfId="0" applyNumberFormat="1" applyFill="1" applyBorder="1" applyAlignment="1">
      <alignment vertical="center"/>
    </xf>
    <xf numFmtId="3" fontId="0" fillId="0" borderId="22"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0" fontId="11" fillId="0" borderId="10" xfId="52" applyFont="1" applyBorder="1" applyAlignment="1">
      <alignment wrapText="1"/>
      <protection/>
    </xf>
    <xf numFmtId="1" fontId="0" fillId="0" borderId="10" xfId="0" applyNumberFormat="1" applyFont="1" applyBorder="1" applyAlignment="1">
      <alignment horizontal="right" vertical="center"/>
    </xf>
    <xf numFmtId="3" fontId="14" fillId="0" borderId="10" xfId="0" applyNumberFormat="1" applyFont="1" applyBorder="1" applyAlignment="1">
      <alignment/>
    </xf>
    <xf numFmtId="0" fontId="30" fillId="20"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0" fontId="6" fillId="0" borderId="10" xfId="0" applyFont="1" applyBorder="1" applyAlignment="1">
      <alignment horizontal="center"/>
    </xf>
    <xf numFmtId="1" fontId="6" fillId="0" borderId="10" xfId="0" applyNumberFormat="1" applyFont="1" applyBorder="1" applyAlignment="1">
      <alignment horizontal="center" vertical="center"/>
    </xf>
    <xf numFmtId="1" fontId="6" fillId="0" borderId="10" xfId="0" applyNumberFormat="1" applyFont="1" applyBorder="1" applyAlignment="1">
      <alignment vertical="center" wrapText="1" shrinkToFit="1"/>
    </xf>
    <xf numFmtId="0" fontId="8" fillId="0" borderId="10" xfId="0" applyFont="1" applyBorder="1" applyAlignment="1">
      <alignment vertical="center"/>
    </xf>
    <xf numFmtId="3" fontId="10" fillId="25" borderId="10" xfId="52" applyNumberFormat="1" applyFont="1" applyFill="1" applyBorder="1">
      <alignment/>
      <protection/>
    </xf>
    <xf numFmtId="3" fontId="25" fillId="2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0" fontId="14" fillId="0" borderId="27" xfId="0" applyFont="1" applyBorder="1" applyAlignment="1">
      <alignment wrapText="1"/>
    </xf>
    <xf numFmtId="3" fontId="0" fillId="0" borderId="11" xfId="0" applyNumberFormat="1" applyBorder="1" applyAlignment="1">
      <alignment horizontal="center" vertical="center"/>
    </xf>
    <xf numFmtId="0" fontId="14" fillId="0" borderId="28" xfId="0" applyFont="1" applyFill="1" applyBorder="1" applyAlignment="1">
      <alignment wrapText="1"/>
    </xf>
    <xf numFmtId="0" fontId="12" fillId="0" borderId="10" xfId="52" applyFont="1" applyBorder="1" applyAlignment="1">
      <alignment horizontal="center" vertical="center" wrapText="1"/>
      <protection/>
    </xf>
    <xf numFmtId="0" fontId="11" fillId="20" borderId="10" xfId="52" applyFont="1" applyFill="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7" fillId="0" borderId="0" xfId="0" applyFont="1" applyAlignment="1">
      <alignment horizontal="center" vertical="center"/>
    </xf>
    <xf numFmtId="0" fontId="37" fillId="0" borderId="0" xfId="0" applyFont="1" applyAlignment="1">
      <alignment/>
    </xf>
    <xf numFmtId="0" fontId="5" fillId="0" borderId="0" xfId="0" applyFont="1" applyAlignment="1">
      <alignment/>
    </xf>
    <xf numFmtId="0" fontId="5" fillId="0" borderId="0" xfId="0" applyFont="1" applyAlignment="1">
      <alignment/>
    </xf>
    <xf numFmtId="3" fontId="37" fillId="0" borderId="0" xfId="0" applyNumberFormat="1" applyFont="1" applyFill="1" applyBorder="1" applyAlignment="1">
      <alignment/>
    </xf>
    <xf numFmtId="3" fontId="5" fillId="0" borderId="10" xfId="0" applyNumberFormat="1" applyFont="1" applyBorder="1" applyAlignment="1">
      <alignment/>
    </xf>
    <xf numFmtId="0" fontId="37" fillId="0" borderId="0" xfId="0" applyFont="1" applyBorder="1" applyAlignment="1">
      <alignment/>
    </xf>
    <xf numFmtId="0" fontId="7" fillId="0" borderId="0" xfId="0" applyFont="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0" fontId="0" fillId="0" borderId="0" xfId="0" applyFont="1" applyAlignment="1">
      <alignment/>
    </xf>
    <xf numFmtId="0" fontId="0" fillId="0" borderId="0" xfId="0" applyFont="1" applyAlignment="1">
      <alignment horizontal="center"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6" fillId="0" borderId="0" xfId="0" applyNumberFormat="1" applyFont="1" applyAlignment="1">
      <alignment horizontal="center"/>
    </xf>
    <xf numFmtId="3" fontId="17" fillId="20" borderId="10" xfId="0" applyNumberFormat="1" applyFont="1" applyFill="1" applyBorder="1" applyAlignment="1">
      <alignment horizontal="center" vertical="center" wrapText="1"/>
    </xf>
    <xf numFmtId="0" fontId="22" fillId="0" borderId="10" xfId="0" applyFont="1" applyBorder="1" applyAlignment="1">
      <alignment horizontal="center" vertical="center" shrinkToFit="1"/>
    </xf>
    <xf numFmtId="1" fontId="22" fillId="0" borderId="10" xfId="0" applyNumberFormat="1" applyFont="1" applyBorder="1" applyAlignment="1">
      <alignment horizontal="center" vertical="center"/>
    </xf>
    <xf numFmtId="1" fontId="22" fillId="0" borderId="10" xfId="0" applyNumberFormat="1" applyFont="1" applyBorder="1" applyAlignment="1">
      <alignment horizontal="left" vertical="center" wrapText="1" shrinkToFit="1"/>
    </xf>
    <xf numFmtId="3" fontId="38" fillId="0" borderId="10" xfId="0" applyNumberFormat="1" applyFont="1" applyBorder="1" applyAlignment="1">
      <alignment vertical="top" wrapText="1"/>
    </xf>
    <xf numFmtId="0" fontId="38" fillId="0" borderId="0" xfId="0" applyFont="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center" vertical="center"/>
    </xf>
    <xf numFmtId="1" fontId="4" fillId="0" borderId="10" xfId="0" applyNumberFormat="1" applyFont="1" applyBorder="1" applyAlignment="1">
      <alignment horizontal="left" vertical="center" wrapText="1" shrinkToFit="1"/>
    </xf>
    <xf numFmtId="3" fontId="17" fillId="0" borderId="10" xfId="0" applyNumberFormat="1" applyFont="1" applyBorder="1" applyAlignment="1">
      <alignment vertical="top" wrapTex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14" fillId="0" borderId="10" xfId="0" applyNumberFormat="1" applyFont="1" applyBorder="1" applyAlignment="1">
      <alignment vertical="top" wrapText="1"/>
    </xf>
    <xf numFmtId="0" fontId="22"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2" fillId="0" borderId="10" xfId="0" applyNumberFormat="1" applyFont="1" applyBorder="1" applyAlignment="1">
      <alignment vertical="center" wrapText="1" shrinkToFit="1"/>
    </xf>
    <xf numFmtId="1" fontId="0" fillId="0" borderId="10" xfId="0" applyNumberFormat="1" applyFont="1" applyBorder="1" applyAlignment="1">
      <alignment horizontal="left" vertical="center" wrapText="1"/>
    </xf>
    <xf numFmtId="1" fontId="35" fillId="0" borderId="10" xfId="0" applyNumberFormat="1" applyFont="1" applyBorder="1" applyAlignment="1">
      <alignment vertical="center" wrapText="1" shrinkToFit="1"/>
    </xf>
    <xf numFmtId="0" fontId="22" fillId="0" borderId="10" xfId="0" applyFont="1" applyFill="1" applyBorder="1" applyAlignment="1">
      <alignment horizontal="center" vertical="center" shrinkToFit="1"/>
    </xf>
    <xf numFmtId="0" fontId="22" fillId="0" borderId="10" xfId="0" applyFont="1" applyBorder="1" applyAlignment="1">
      <alignment horizontal="center" vertical="center"/>
    </xf>
    <xf numFmtId="0" fontId="22"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0" fontId="17" fillId="25" borderId="0" xfId="0" applyFont="1" applyFill="1" applyAlignment="1">
      <alignment/>
    </xf>
    <xf numFmtId="0" fontId="4" fillId="0" borderId="10" xfId="0" applyFont="1" applyBorder="1" applyAlignment="1">
      <alignment/>
    </xf>
    <xf numFmtId="0" fontId="0" fillId="0" borderId="10" xfId="0" applyFont="1" applyBorder="1" applyAlignment="1">
      <alignment/>
    </xf>
    <xf numFmtId="1" fontId="14" fillId="0" borderId="10" xfId="0" applyNumberFormat="1" applyFont="1" applyBorder="1" applyAlignment="1">
      <alignment horizontal="center" vertical="center"/>
    </xf>
    <xf numFmtId="1" fontId="14" fillId="0" borderId="10" xfId="0" applyNumberFormat="1" applyFont="1" applyBorder="1" applyAlignment="1">
      <alignment vertical="center" wrapText="1" shrinkToFit="1"/>
    </xf>
    <xf numFmtId="3" fontId="14" fillId="0" borderId="10" xfId="0" applyNumberFormat="1" applyFont="1" applyFill="1" applyBorder="1" applyAlignment="1">
      <alignment vertical="center" shrinkToFit="1"/>
    </xf>
    <xf numFmtId="0" fontId="39" fillId="0" borderId="10" xfId="0" applyFont="1" applyBorder="1" applyAlignment="1">
      <alignment horizontal="center" vertical="center" shrinkToFit="1"/>
    </xf>
    <xf numFmtId="1" fontId="39" fillId="0" borderId="10" xfId="0" applyNumberFormat="1" applyFont="1" applyBorder="1" applyAlignment="1">
      <alignment vertical="center" wrapText="1" shrinkToFit="1"/>
    </xf>
    <xf numFmtId="1" fontId="35" fillId="0" borderId="10" xfId="0" applyNumberFormat="1" applyFont="1" applyBorder="1" applyAlignment="1">
      <alignment horizontal="center" vertical="center"/>
    </xf>
    <xf numFmtId="0" fontId="0" fillId="0" borderId="10" xfId="0" applyFont="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0" fillId="0" borderId="10" xfId="0" applyNumberFormat="1" applyFont="1" applyFill="1" applyBorder="1" applyAlignment="1">
      <alignment/>
    </xf>
    <xf numFmtId="3" fontId="0" fillId="0" borderId="10" xfId="0" applyNumberFormat="1" applyFont="1" applyBorder="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xf>
    <xf numFmtId="0" fontId="22" fillId="0" borderId="10" xfId="0" applyFont="1" applyBorder="1" applyAlignment="1">
      <alignment horizontal="center" vertical="center" shrinkToFit="1"/>
    </xf>
    <xf numFmtId="3" fontId="4" fillId="0" borderId="10" xfId="0" applyNumberFormat="1" applyFont="1" applyBorder="1" applyAlignment="1">
      <alignment vertical="top" wrapText="1"/>
    </xf>
    <xf numFmtId="3" fontId="0" fillId="0" borderId="10" xfId="0" applyNumberFormat="1" applyFont="1" applyBorder="1" applyAlignment="1">
      <alignment vertical="top" wrapText="1"/>
    </xf>
    <xf numFmtId="3" fontId="17" fillId="0" borderId="10" xfId="0" applyNumberFormat="1" applyFont="1" applyBorder="1" applyAlignment="1">
      <alignment horizontal="center" vertical="center" wrapText="1"/>
    </xf>
    <xf numFmtId="0" fontId="4" fillId="0" borderId="10" xfId="0" applyFont="1" applyBorder="1" applyAlignment="1">
      <alignment vertical="center"/>
    </xf>
    <xf numFmtId="3" fontId="0" fillId="0" borderId="10" xfId="0" applyNumberFormat="1" applyFont="1" applyBorder="1" applyAlignment="1">
      <alignment vertical="center"/>
    </xf>
    <xf numFmtId="0" fontId="4" fillId="0" borderId="29" xfId="0" applyFont="1" applyBorder="1" applyAlignment="1">
      <alignment vertical="center" wrapText="1"/>
    </xf>
    <xf numFmtId="3" fontId="4" fillId="0" borderId="30" xfId="0" applyNumberFormat="1" applyFont="1" applyBorder="1" applyAlignment="1">
      <alignment vertical="center"/>
    </xf>
    <xf numFmtId="3" fontId="4" fillId="0" borderId="24" xfId="0" applyNumberFormat="1" applyFont="1" applyBorder="1" applyAlignment="1">
      <alignment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1" fillId="0" borderId="10" xfId="0" applyFont="1" applyBorder="1" applyAlignment="1">
      <alignment vertical="center" wrapText="1"/>
    </xf>
    <xf numFmtId="0" fontId="35"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18" fontId="8" fillId="0" borderId="10" xfId="0" applyNumberFormat="1" applyFont="1" applyBorder="1" applyAlignment="1">
      <alignment vertical="center"/>
    </xf>
    <xf numFmtId="0" fontId="11" fillId="0" borderId="10" xfId="0" applyFont="1" applyBorder="1" applyAlignment="1">
      <alignment horizontal="left" vertical="center" wrapText="1"/>
    </xf>
    <xf numFmtId="171" fontId="14"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10" xfId="0" applyNumberFormat="1" applyFont="1" applyFill="1" applyBorder="1" applyAlignment="1">
      <alignment horizontal="right" vertical="top" wrapText="1"/>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40" fillId="0" borderId="10" xfId="0" applyFont="1" applyFill="1" applyBorder="1" applyAlignment="1">
      <alignment horizontal="center" vertical="center" shrinkToFit="1"/>
    </xf>
    <xf numFmtId="1" fontId="9" fillId="0" borderId="10" xfId="0" applyNumberFormat="1" applyFont="1" applyFill="1" applyBorder="1" applyAlignment="1">
      <alignment horizontal="center" vertical="center"/>
    </xf>
    <xf numFmtId="0" fontId="35" fillId="0" borderId="10" xfId="0" applyFont="1" applyBorder="1" applyAlignment="1">
      <alignment wrapText="1"/>
    </xf>
    <xf numFmtId="1" fontId="9" fillId="0" borderId="10" xfId="0" applyNumberFormat="1" applyFont="1" applyFill="1" applyBorder="1" applyAlignment="1">
      <alignment horizontal="center" vertical="center"/>
    </xf>
    <xf numFmtId="1" fontId="9" fillId="0" borderId="10" xfId="0" applyNumberFormat="1" applyFont="1" applyFill="1" applyBorder="1" applyAlignment="1">
      <alignment vertical="center" wrapText="1" shrinkToFit="1"/>
    </xf>
    <xf numFmtId="0" fontId="0" fillId="0" borderId="10" xfId="0" applyBorder="1" applyAlignment="1">
      <alignment vertical="center" wrapText="1"/>
    </xf>
    <xf numFmtId="18" fontId="8" fillId="0" borderId="10" xfId="0" applyNumberFormat="1" applyFont="1" applyBorder="1" applyAlignment="1">
      <alignment horizontal="right" vertical="center"/>
    </xf>
    <xf numFmtId="3" fontId="41" fillId="0" borderId="10" xfId="0" applyNumberFormat="1" applyFont="1" applyBorder="1" applyAlignment="1">
      <alignment vertical="center"/>
    </xf>
    <xf numFmtId="3" fontId="1" fillId="0" borderId="10" xfId="0" applyNumberFormat="1" applyFont="1" applyBorder="1" applyAlignment="1">
      <alignment vertical="center"/>
    </xf>
    <xf numFmtId="3" fontId="6" fillId="0" borderId="10" xfId="0" applyNumberFormat="1" applyFont="1" applyBorder="1" applyAlignment="1">
      <alignment horizontal="center" vertical="center"/>
    </xf>
    <xf numFmtId="0" fontId="60" fillId="0" borderId="10" xfId="0" applyFont="1" applyBorder="1" applyAlignment="1">
      <alignment horizontal="center" vertical="center"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0" xfId="52" applyFont="1" applyFill="1" applyBorder="1">
      <alignment/>
      <protection/>
    </xf>
    <xf numFmtId="0" fontId="20" fillId="0" borderId="10" xfId="0" applyFont="1" applyBorder="1" applyAlignment="1">
      <alignment vertical="center"/>
    </xf>
    <xf numFmtId="171" fontId="11" fillId="0" borderId="10" xfId="0" applyNumberFormat="1" applyFont="1" applyBorder="1" applyAlignment="1">
      <alignment horizontal="left" vertical="center" wrapText="1"/>
    </xf>
    <xf numFmtId="0" fontId="29" fillId="0" borderId="0" xfId="0" applyFont="1" applyAlignment="1">
      <alignment horizontal="center"/>
    </xf>
    <xf numFmtId="0" fontId="6" fillId="0" borderId="0" xfId="0" applyFont="1" applyAlignment="1">
      <alignment/>
    </xf>
    <xf numFmtId="0" fontId="8" fillId="0" borderId="10" xfId="0" applyFont="1" applyBorder="1" applyAlignment="1">
      <alignment/>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vertical="center" wrapText="1" shrinkToFit="1"/>
    </xf>
    <xf numFmtId="1" fontId="0" fillId="0" borderId="10" xfId="0" applyNumberFormat="1" applyBorder="1" applyAlignment="1">
      <alignment vertical="center" wrapText="1" shrinkToFit="1"/>
    </xf>
    <xf numFmtId="0" fontId="0" fillId="0" borderId="10" xfId="0" applyFont="1" applyBorder="1" applyAlignment="1">
      <alignment horizontal="right"/>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35" fillId="0" borderId="10" xfId="0" applyFont="1" applyBorder="1" applyAlignment="1">
      <alignment horizontal="right"/>
    </xf>
    <xf numFmtId="1" fontId="0" fillId="0" borderId="10" xfId="0" applyNumberFormat="1" applyBorder="1" applyAlignment="1">
      <alignment horizontal="left" vertical="center" wrapText="1"/>
    </xf>
    <xf numFmtId="0" fontId="24" fillId="0" borderId="10" xfId="0" applyFont="1" applyBorder="1" applyAlignment="1">
      <alignment wrapText="1"/>
    </xf>
    <xf numFmtId="0" fontId="4" fillId="0" borderId="0" xfId="0" applyFont="1" applyAlignment="1">
      <alignment horizontal="center" vertical="center"/>
    </xf>
    <xf numFmtId="0" fontId="5" fillId="0" borderId="0" xfId="0" applyFont="1" applyAlignment="1">
      <alignment horizontal="center" vertical="center" wrapText="1"/>
    </xf>
    <xf numFmtId="0" fontId="10" fillId="0" borderId="10" xfId="52" applyFont="1" applyBorder="1" applyAlignment="1">
      <alignment horizontal="center"/>
      <protection/>
    </xf>
    <xf numFmtId="3" fontId="17" fillId="20" borderId="10" xfId="0" applyNumberFormat="1" applyFont="1" applyFill="1" applyBorder="1" applyAlignment="1">
      <alignment horizontal="center" vertical="center" wrapText="1"/>
    </xf>
    <xf numFmtId="0" fontId="17" fillId="20" borderId="10" xfId="0" applyFont="1" applyFill="1" applyBorder="1" applyAlignment="1">
      <alignment horizontal="center" vertical="center" wrapText="1"/>
    </xf>
    <xf numFmtId="0" fontId="5" fillId="0" borderId="0" xfId="0" applyFont="1" applyAlignment="1">
      <alignment horizontal="center"/>
    </xf>
    <xf numFmtId="0" fontId="21"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4" fillId="20" borderId="10" xfId="0" applyFont="1" applyFill="1" applyBorder="1" applyAlignment="1">
      <alignment horizontal="center" vertical="center"/>
    </xf>
    <xf numFmtId="3" fontId="21" fillId="20" borderId="10" xfId="0" applyNumberFormat="1" applyFont="1" applyFill="1" applyBorder="1" applyAlignment="1">
      <alignment horizontal="center" vertical="center" wrapText="1"/>
    </xf>
    <xf numFmtId="3" fontId="4" fillId="20" borderId="10" xfId="0" applyNumberFormat="1" applyFont="1" applyFill="1" applyBorder="1" applyAlignment="1">
      <alignment horizontal="center" vertical="center" wrapText="1"/>
    </xf>
    <xf numFmtId="0" fontId="31" fillId="20" borderId="10" xfId="0" applyFont="1" applyFill="1" applyBorder="1" applyAlignment="1">
      <alignment horizontal="center" vertical="center"/>
    </xf>
    <xf numFmtId="0" fontId="17" fillId="0" borderId="0" xfId="52" applyFont="1" applyAlignment="1">
      <alignment horizontal="center"/>
      <protection/>
    </xf>
    <xf numFmtId="0" fontId="10" fillId="20" borderId="10" xfId="52" applyFont="1" applyFill="1" applyBorder="1" applyAlignment="1">
      <alignment horizontal="center" vertical="center"/>
      <protection/>
    </xf>
    <xf numFmtId="0" fontId="10" fillId="20" borderId="10" xfId="52" applyFont="1" applyFill="1" applyBorder="1" applyAlignment="1">
      <alignment horizontal="center" vertical="center" wrapText="1"/>
      <protection/>
    </xf>
    <xf numFmtId="0" fontId="30" fillId="20" borderId="10" xfId="52" applyFont="1" applyFill="1" applyBorder="1" applyAlignment="1">
      <alignment horizontal="center" vertical="center" wrapText="1"/>
      <protection/>
    </xf>
    <xf numFmtId="0" fontId="17" fillId="0" borderId="10" xfId="0" applyFont="1" applyBorder="1" applyAlignment="1">
      <alignment horizontal="center" wrapText="1"/>
    </xf>
    <xf numFmtId="0" fontId="10" fillId="0" borderId="10" xfId="52" applyFont="1" applyBorder="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1"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5" borderId="10" xfId="0" applyFont="1" applyFill="1" applyBorder="1" applyAlignment="1">
      <alignment horizontal="center" vertical="center"/>
    </xf>
    <xf numFmtId="0" fontId="13"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1"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31" xfId="0" applyFont="1" applyFill="1" applyBorder="1" applyAlignment="1">
      <alignment horizontal="center" vertical="center"/>
    </xf>
    <xf numFmtId="0" fontId="4" fillId="20"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17" fillId="20" borderId="14" xfId="0" applyFont="1" applyFill="1" applyBorder="1" applyAlignment="1">
      <alignment horizontal="center" vertical="center" wrapText="1"/>
    </xf>
    <xf numFmtId="0" fontId="17" fillId="20" borderId="16" xfId="0" applyFont="1" applyFill="1" applyBorder="1" applyAlignment="1">
      <alignment horizontal="center" vertical="center" wrapText="1"/>
    </xf>
    <xf numFmtId="0" fontId="17" fillId="20" borderId="10" xfId="0" applyFont="1" applyFill="1" applyBorder="1" applyAlignment="1">
      <alignment horizontal="center" vertical="center"/>
    </xf>
    <xf numFmtId="0" fontId="8" fillId="20" borderId="10" xfId="0" applyFont="1" applyFill="1" applyBorder="1" applyAlignment="1">
      <alignment horizontal="center" vertical="center"/>
    </xf>
    <xf numFmtId="0" fontId="31" fillId="20" borderId="10" xfId="0" applyFont="1" applyFill="1" applyBorder="1" applyAlignment="1">
      <alignment horizontal="center" vertical="center" wrapText="1"/>
    </xf>
    <xf numFmtId="172" fontId="4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0" fillId="0" borderId="10" xfId="0" applyFont="1" applyBorder="1" applyAlignment="1">
      <alignment horizontal="center" vertical="center"/>
    </xf>
    <xf numFmtId="0" fontId="8" fillId="0" borderId="10" xfId="0" applyFont="1" applyBorder="1" applyAlignment="1">
      <alignment horizontal="center" vertical="center"/>
    </xf>
    <xf numFmtId="0" fontId="4" fillId="0" borderId="10" xfId="0" applyFont="1" applyBorder="1" applyAlignment="1">
      <alignment horizontal="left" vertical="center"/>
    </xf>
    <xf numFmtId="0" fontId="29" fillId="0" borderId="10" xfId="0" applyFont="1" applyBorder="1" applyAlignment="1">
      <alignment horizontal="center" vertical="center" wrapText="1"/>
    </xf>
    <xf numFmtId="0" fontId="0" fillId="20" borderId="10" xfId="0" applyFont="1" applyFill="1" applyBorder="1" applyAlignment="1">
      <alignment horizontal="center" vertical="center"/>
    </xf>
    <xf numFmtId="0" fontId="34" fillId="0" borderId="10" xfId="0" applyFont="1" applyBorder="1" applyAlignment="1">
      <alignment wrapText="1"/>
    </xf>
    <xf numFmtId="0" fontId="10" fillId="25" borderId="10" xfId="52" applyFont="1" applyFill="1" applyBorder="1" applyAlignment="1">
      <alignment wrapText="1"/>
      <protection/>
    </xf>
    <xf numFmtId="0" fontId="10" fillId="25" borderId="10" xfId="52" applyFont="1" applyFill="1" applyBorder="1" applyAlignment="1">
      <alignment horizontal="center"/>
      <protection/>
    </xf>
    <xf numFmtId="0" fontId="11" fillId="0" borderId="10" xfId="52" applyFont="1" applyBorder="1" applyAlignment="1">
      <alignment horizontal="center" vertical="center"/>
      <protection/>
    </xf>
    <xf numFmtId="0" fontId="11" fillId="0" borderId="10" xfId="52" applyFont="1" applyBorder="1" applyAlignment="1">
      <alignment horizontal="center" vertical="center"/>
      <protection/>
    </xf>
    <xf numFmtId="0" fontId="11" fillId="0" borderId="10" xfId="52" applyFont="1" applyFill="1" applyBorder="1" applyAlignment="1">
      <alignment horizontal="center" vertical="center"/>
      <protection/>
    </xf>
    <xf numFmtId="0" fontId="36" fillId="0" borderId="10" xfId="0" applyFont="1" applyBorder="1" applyAlignment="1">
      <alignment horizontal="center" wrapText="1"/>
    </xf>
    <xf numFmtId="0" fontId="61" fillId="0" borderId="10" xfId="0" applyFont="1" applyBorder="1" applyAlignment="1">
      <alignment horizontal="center"/>
    </xf>
    <xf numFmtId="0" fontId="4" fillId="20" borderId="14" xfId="0" applyFont="1" applyFill="1" applyBorder="1" applyAlignment="1">
      <alignment horizontal="center" vertical="center"/>
    </xf>
    <xf numFmtId="3" fontId="4" fillId="20" borderId="27" xfId="0" applyNumberFormat="1" applyFont="1" applyFill="1" applyBorder="1" applyAlignment="1">
      <alignment horizontal="center" vertical="center" wrapText="1"/>
    </xf>
    <xf numFmtId="3" fontId="4" fillId="20" borderId="32" xfId="0" applyNumberFormat="1" applyFont="1" applyFill="1" applyBorder="1" applyAlignment="1">
      <alignment horizontal="center" vertical="center" wrapText="1"/>
    </xf>
    <xf numFmtId="3" fontId="4" fillId="20" borderId="33" xfId="0" applyNumberFormat="1" applyFont="1" applyFill="1" applyBorder="1" applyAlignment="1">
      <alignment horizontal="center" vertical="center" wrapText="1"/>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3" fontId="4" fillId="20" borderId="34" xfId="0" applyNumberFormat="1" applyFont="1" applyFill="1" applyBorder="1" applyAlignment="1">
      <alignment horizontal="center" vertical="center" wrapText="1"/>
    </xf>
    <xf numFmtId="3" fontId="4" fillId="20" borderId="35" xfId="0" applyNumberFormat="1" applyFont="1" applyFill="1" applyBorder="1" applyAlignment="1">
      <alignment horizontal="center" vertical="center" wrapText="1"/>
    </xf>
    <xf numFmtId="3" fontId="4" fillId="20" borderId="36" xfId="0" applyNumberFormat="1" applyFont="1" applyFill="1" applyBorder="1" applyAlignment="1">
      <alignment horizontal="center" vertical="center" wrapText="1"/>
    </xf>
    <xf numFmtId="0" fontId="4" fillId="20" borderId="15"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4" fillId="20" borderId="16" xfId="0" applyFont="1" applyFill="1" applyBorder="1" applyAlignment="1">
      <alignment horizontal="center" vertical="center"/>
    </xf>
    <xf numFmtId="3" fontId="4" fillId="20" borderId="16" xfId="0" applyNumberFormat="1" applyFont="1" applyFill="1" applyBorder="1" applyAlignment="1">
      <alignment horizontal="center" vertical="center" wrapText="1"/>
    </xf>
    <xf numFmtId="0" fontId="0" fillId="0" borderId="10" xfId="0" applyFont="1" applyBorder="1" applyAlignment="1">
      <alignment horizontal="center" vertical="center"/>
    </xf>
    <xf numFmtId="3" fontId="0" fillId="0" borderId="10" xfId="0" applyNumberFormat="1" applyFont="1" applyBorder="1" applyAlignment="1">
      <alignment horizontal="center" vertical="center"/>
    </xf>
    <xf numFmtId="0" fontId="4" fillId="0" borderId="10" xfId="0" applyFont="1" applyFill="1" applyBorder="1" applyAlignment="1">
      <alignment/>
    </xf>
    <xf numFmtId="0" fontId="4" fillId="0" borderId="10" xfId="0" applyFont="1" applyFill="1" applyBorder="1" applyAlignment="1">
      <alignment wrapText="1"/>
    </xf>
    <xf numFmtId="3" fontId="0" fillId="0" borderId="10" xfId="0" applyNumberFormat="1" applyFont="1" applyBorder="1" applyAlignment="1">
      <alignment vertical="center"/>
    </xf>
    <xf numFmtId="0" fontId="22" fillId="0" borderId="10" xfId="0" applyFont="1" applyBorder="1" applyAlignment="1">
      <alignment/>
    </xf>
    <xf numFmtId="0" fontId="22" fillId="0" borderId="10" xfId="0" applyFont="1" applyBorder="1" applyAlignment="1">
      <alignment wrapText="1"/>
    </xf>
    <xf numFmtId="3" fontId="22" fillId="0" borderId="10" xfId="0" applyNumberFormat="1" applyFont="1" applyBorder="1" applyAlignment="1">
      <alignment vertical="center"/>
    </xf>
    <xf numFmtId="0" fontId="4" fillId="0" borderId="10" xfId="0" applyFont="1" applyBorder="1" applyAlignment="1">
      <alignment/>
    </xf>
    <xf numFmtId="0" fontId="4" fillId="0" borderId="10" xfId="0" applyFont="1" applyBorder="1" applyAlignment="1">
      <alignment wrapText="1"/>
    </xf>
    <xf numFmtId="3" fontId="4" fillId="0" borderId="10" xfId="0" applyNumberFormat="1" applyFont="1" applyBorder="1" applyAlignment="1">
      <alignment vertical="center"/>
    </xf>
    <xf numFmtId="0" fontId="4" fillId="0" borderId="10" xfId="0" applyFont="1" applyBorder="1" applyAlignment="1">
      <alignment wrapText="1"/>
    </xf>
    <xf numFmtId="3" fontId="0" fillId="0" borderId="10" xfId="0" applyNumberFormat="1" applyFont="1" applyBorder="1" applyAlignment="1">
      <alignment/>
    </xf>
    <xf numFmtId="3" fontId="22" fillId="0" borderId="10" xfId="0" applyNumberFormat="1" applyFont="1" applyBorder="1" applyAlignment="1">
      <alignment vertical="center"/>
    </xf>
    <xf numFmtId="3" fontId="0" fillId="0" borderId="10" xfId="0" applyNumberFormat="1" applyFont="1" applyBorder="1" applyAlignment="1">
      <alignment vertical="center"/>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wrapText="1"/>
    </xf>
    <xf numFmtId="3" fontId="35" fillId="0" borderId="10" xfId="0" applyNumberFormat="1" applyFont="1" applyFill="1" applyBorder="1" applyAlignment="1">
      <alignment/>
    </xf>
    <xf numFmtId="3" fontId="0" fillId="0" borderId="10" xfId="0" applyNumberFormat="1" applyFont="1" applyBorder="1" applyAlignment="1">
      <alignment/>
    </xf>
    <xf numFmtId="0" fontId="0" fillId="0" borderId="10" xfId="0" applyFont="1" applyFill="1" applyBorder="1" applyAlignment="1">
      <alignment horizontal="right"/>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14" fillId="0" borderId="0" xfId="0" applyFont="1" applyBorder="1" applyAlignment="1">
      <alignment wrapText="1"/>
    </xf>
    <xf numFmtId="0" fontId="14" fillId="0" borderId="0" xfId="0" applyFont="1" applyAlignment="1">
      <alignment wrapText="1"/>
    </xf>
    <xf numFmtId="3" fontId="0" fillId="0" borderId="10" xfId="0" applyNumberFormat="1" applyFont="1" applyFill="1" applyBorder="1" applyAlignment="1">
      <alignment vertical="center" shrinkToFit="1"/>
    </xf>
    <xf numFmtId="3" fontId="22" fillId="0" borderId="10" xfId="0" applyNumberFormat="1" applyFont="1" applyBorder="1" applyAlignment="1">
      <alignment/>
    </xf>
    <xf numFmtId="3" fontId="4" fillId="0" borderId="10" xfId="0" applyNumberFormat="1" applyFont="1" applyBorder="1" applyAlignment="1">
      <alignment/>
    </xf>
    <xf numFmtId="0" fontId="0" fillId="0" borderId="14" xfId="0" applyFont="1" applyBorder="1" applyAlignment="1">
      <alignment/>
    </xf>
    <xf numFmtId="0" fontId="0" fillId="0" borderId="14" xfId="0" applyFont="1" applyBorder="1" applyAlignment="1">
      <alignment wrapText="1"/>
    </xf>
    <xf numFmtId="3" fontId="0" fillId="0" borderId="14" xfId="0" applyNumberFormat="1"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wrapText="1"/>
    </xf>
    <xf numFmtId="49" fontId="0" fillId="0" borderId="10" xfId="0" applyNumberFormat="1" applyFont="1" applyBorder="1" applyAlignment="1">
      <alignment/>
    </xf>
    <xf numFmtId="49" fontId="0" fillId="0" borderId="10" xfId="0" applyNumberFormat="1" applyFont="1" applyBorder="1" applyAlignment="1">
      <alignment horizontal="right"/>
    </xf>
    <xf numFmtId="0" fontId="4" fillId="0" borderId="10" xfId="0" applyFont="1" applyBorder="1" applyAlignment="1">
      <alignment horizontal="right"/>
    </xf>
    <xf numFmtId="3" fontId="35" fillId="26" borderId="10" xfId="0" applyNumberFormat="1" applyFont="1" applyFill="1" applyBorder="1" applyAlignment="1">
      <alignment/>
    </xf>
    <xf numFmtId="0" fontId="0" fillId="26" borderId="10" xfId="0" applyFont="1" applyFill="1" applyBorder="1" applyAlignment="1">
      <alignment/>
    </xf>
    <xf numFmtId="0" fontId="0" fillId="26" borderId="10" xfId="0" applyFont="1" applyFill="1" applyBorder="1" applyAlignment="1">
      <alignment wrapText="1"/>
    </xf>
    <xf numFmtId="1" fontId="4" fillId="0" borderId="10" xfId="0" applyNumberFormat="1" applyFont="1" applyBorder="1" applyAlignment="1">
      <alignment vertical="center" wrapText="1" shrinkToFit="1"/>
    </xf>
    <xf numFmtId="0" fontId="22" fillId="0" borderId="10" xfId="0" applyFont="1" applyBorder="1" applyAlignment="1">
      <alignment horizontal="right"/>
    </xf>
    <xf numFmtId="3" fontId="39" fillId="0" borderId="10" xfId="0" applyNumberFormat="1" applyFont="1" applyFill="1" applyBorder="1" applyAlignment="1">
      <alignment/>
    </xf>
    <xf numFmtId="0" fontId="0" fillId="0" borderId="10" xfId="0" applyFont="1" applyFill="1" applyBorder="1" applyAlignment="1">
      <alignment/>
    </xf>
    <xf numFmtId="3" fontId="39" fillId="0" borderId="10" xfId="0" applyNumberFormat="1" applyFont="1" applyFill="1" applyBorder="1" applyAlignment="1">
      <alignment/>
    </xf>
    <xf numFmtId="0" fontId="62" fillId="0" borderId="10" xfId="0" applyFont="1" applyBorder="1" applyAlignment="1">
      <alignment horizontal="right" vertical="center" shrinkToFit="1"/>
    </xf>
    <xf numFmtId="0" fontId="62" fillId="0" borderId="10" xfId="0" applyFont="1" applyBorder="1" applyAlignment="1">
      <alignment horizontal="center" vertical="center" shrinkToFit="1"/>
    </xf>
    <xf numFmtId="1" fontId="62" fillId="0" borderId="10" xfId="0" applyNumberFormat="1" applyFont="1" applyBorder="1" applyAlignment="1">
      <alignment horizontal="center" vertical="center"/>
    </xf>
    <xf numFmtId="1" fontId="62" fillId="0" borderId="10" xfId="0" applyNumberFormat="1" applyFont="1" applyBorder="1" applyAlignment="1">
      <alignment vertical="center" wrapText="1" shrinkToFit="1"/>
    </xf>
    <xf numFmtId="3" fontId="39" fillId="0" borderId="10" xfId="0" applyNumberFormat="1" applyFont="1" applyFill="1" applyBorder="1" applyAlignment="1">
      <alignment horizontal="right" vertical="center"/>
    </xf>
    <xf numFmtId="0" fontId="39" fillId="0" borderId="10" xfId="0" applyFont="1" applyBorder="1" applyAlignment="1">
      <alignment horizontal="right" vertical="center" shrinkToFit="1"/>
    </xf>
    <xf numFmtId="1" fontId="39" fillId="0" borderId="10" xfId="0" applyNumberFormat="1" applyFont="1" applyBorder="1" applyAlignment="1">
      <alignment horizontal="center" vertical="center"/>
    </xf>
    <xf numFmtId="3" fontId="35" fillId="0" borderId="10" xfId="0" applyNumberFormat="1" applyFont="1" applyFill="1" applyBorder="1" applyAlignment="1">
      <alignment horizontal="right" vertical="center"/>
    </xf>
    <xf numFmtId="0" fontId="14" fillId="0" borderId="10" xfId="0" applyFont="1" applyBorder="1" applyAlignment="1">
      <alignment horizontal="center" vertical="center" wrapText="1"/>
    </xf>
    <xf numFmtId="3" fontId="14" fillId="0" borderId="10" xfId="0" applyNumberFormat="1" applyFont="1" applyBorder="1" applyAlignment="1">
      <alignment horizontal="center" vertical="center" wrapText="1"/>
    </xf>
    <xf numFmtId="0" fontId="39" fillId="0" borderId="10" xfId="0" applyFont="1" applyBorder="1" applyAlignment="1">
      <alignment wrapText="1"/>
    </xf>
    <xf numFmtId="0" fontId="17" fillId="0" borderId="10" xfId="0" applyFont="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202-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1-2009-%20Z%20%20POPRAWK&#2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żet 2009"/>
      <sheetName val="etaty  2009"/>
      <sheetName val="Arkusz3"/>
    </sheetNames>
    <sheetDataSet>
      <sheetData sheetId="0">
        <row r="552">
          <cell r="N552">
            <v>9708</v>
          </cell>
        </row>
        <row r="553">
          <cell r="N553">
            <v>1713</v>
          </cell>
        </row>
        <row r="554">
          <cell r="N554">
            <v>1550</v>
          </cell>
        </row>
        <row r="555">
          <cell r="N555">
            <v>274</v>
          </cell>
        </row>
        <row r="556">
          <cell r="N556">
            <v>63284</v>
          </cell>
        </row>
        <row r="557">
          <cell r="N557">
            <v>11168</v>
          </cell>
        </row>
        <row r="558">
          <cell r="N558">
            <v>12936</v>
          </cell>
        </row>
        <row r="559">
          <cell r="N559">
            <v>2283</v>
          </cell>
        </row>
        <row r="560">
          <cell r="N560">
            <v>1018</v>
          </cell>
        </row>
        <row r="561">
          <cell r="N561">
            <v>180</v>
          </cell>
        </row>
        <row r="562">
          <cell r="N562">
            <v>13021</v>
          </cell>
        </row>
        <row r="563">
          <cell r="N563">
            <v>2298</v>
          </cell>
        </row>
        <row r="564">
          <cell r="N564">
            <v>1109</v>
          </cell>
        </row>
        <row r="565">
          <cell r="N565">
            <v>196</v>
          </cell>
        </row>
        <row r="566">
          <cell r="N566">
            <v>340</v>
          </cell>
        </row>
        <row r="569">
          <cell r="N569">
            <v>12207</v>
          </cell>
        </row>
        <row r="570">
          <cell r="N570">
            <v>2154</v>
          </cell>
        </row>
        <row r="571">
          <cell r="N571">
            <v>1950</v>
          </cell>
        </row>
        <row r="572">
          <cell r="N572">
            <v>344</v>
          </cell>
        </row>
        <row r="573">
          <cell r="N573">
            <v>79575</v>
          </cell>
        </row>
        <row r="574">
          <cell r="N574">
            <v>14043</v>
          </cell>
        </row>
        <row r="575">
          <cell r="N575">
            <v>10409</v>
          </cell>
        </row>
        <row r="576">
          <cell r="N576">
            <v>1837</v>
          </cell>
        </row>
        <row r="577">
          <cell r="N577">
            <v>19549</v>
          </cell>
        </row>
        <row r="578">
          <cell r="N578">
            <v>3450</v>
          </cell>
        </row>
        <row r="579">
          <cell r="N579">
            <v>2489</v>
          </cell>
        </row>
        <row r="580">
          <cell r="N580">
            <v>439</v>
          </cell>
        </row>
        <row r="582">
          <cell r="N582">
            <v>24719</v>
          </cell>
        </row>
        <row r="583">
          <cell r="N583">
            <v>4362</v>
          </cell>
        </row>
        <row r="584">
          <cell r="N584">
            <v>3948</v>
          </cell>
        </row>
        <row r="585">
          <cell r="N585">
            <v>697</v>
          </cell>
        </row>
        <row r="586">
          <cell r="N586">
            <v>170015</v>
          </cell>
        </row>
        <row r="587">
          <cell r="N587">
            <v>19561</v>
          </cell>
        </row>
        <row r="588">
          <cell r="N588">
            <v>38322</v>
          </cell>
        </row>
        <row r="589">
          <cell r="N589">
            <v>6763</v>
          </cell>
        </row>
        <row r="590">
          <cell r="N590">
            <v>78372</v>
          </cell>
        </row>
        <row r="591">
          <cell r="N591">
            <v>3080</v>
          </cell>
        </row>
        <row r="592">
          <cell r="N592">
            <v>739</v>
          </cell>
        </row>
        <row r="593">
          <cell r="N593">
            <v>130</v>
          </cell>
        </row>
        <row r="594">
          <cell r="N594">
            <v>5663</v>
          </cell>
        </row>
        <row r="595">
          <cell r="N595">
            <v>999</v>
          </cell>
        </row>
        <row r="596">
          <cell r="N596">
            <v>3655</v>
          </cell>
        </row>
        <row r="597">
          <cell r="N597">
            <v>645</v>
          </cell>
        </row>
        <row r="600">
          <cell r="N600">
            <v>9718</v>
          </cell>
        </row>
        <row r="601">
          <cell r="N601">
            <v>1715</v>
          </cell>
        </row>
        <row r="602">
          <cell r="N602">
            <v>1552</v>
          </cell>
        </row>
        <row r="603">
          <cell r="N603">
            <v>274</v>
          </cell>
        </row>
        <row r="604">
          <cell r="N604">
            <v>63353</v>
          </cell>
        </row>
        <row r="605">
          <cell r="N605">
            <v>11180</v>
          </cell>
        </row>
        <row r="606">
          <cell r="N606">
            <v>9023</v>
          </cell>
        </row>
        <row r="607">
          <cell r="N607">
            <v>1592</v>
          </cell>
        </row>
        <row r="608">
          <cell r="N608">
            <v>459</v>
          </cell>
        </row>
        <row r="609">
          <cell r="N609">
            <v>81</v>
          </cell>
        </row>
        <row r="610">
          <cell r="N610">
            <v>22256</v>
          </cell>
        </row>
        <row r="611">
          <cell r="N611">
            <v>3927</v>
          </cell>
        </row>
        <row r="619">
          <cell r="N619">
            <v>14527</v>
          </cell>
        </row>
        <row r="620">
          <cell r="N620">
            <v>2564</v>
          </cell>
        </row>
        <row r="621">
          <cell r="N621">
            <v>2320</v>
          </cell>
        </row>
        <row r="622">
          <cell r="N622">
            <v>410</v>
          </cell>
        </row>
        <row r="623">
          <cell r="N623">
            <v>104053</v>
          </cell>
        </row>
        <row r="624">
          <cell r="N624">
            <v>18362</v>
          </cell>
        </row>
        <row r="625">
          <cell r="N625">
            <v>7068</v>
          </cell>
        </row>
        <row r="626">
          <cell r="N626">
            <v>1247</v>
          </cell>
        </row>
        <row r="627">
          <cell r="N627">
            <v>274840</v>
          </cell>
        </row>
        <row r="628">
          <cell r="N628">
            <v>48501</v>
          </cell>
        </row>
        <row r="629">
          <cell r="N629">
            <v>1850</v>
          </cell>
        </row>
        <row r="630">
          <cell r="N630">
            <v>326</v>
          </cell>
        </row>
        <row r="631">
          <cell r="N631">
            <v>1856</v>
          </cell>
        </row>
        <row r="632">
          <cell r="N632">
            <v>328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126">
          <cell r="G126">
            <v>6120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0"/>
  <sheetViews>
    <sheetView zoomScale="75" zoomScaleNormal="75" zoomScalePageLayoutView="0" workbookViewId="0" topLeftCell="A1">
      <selection activeCell="E163" sqref="E163"/>
    </sheetView>
  </sheetViews>
  <sheetFormatPr defaultColWidth="9.00390625" defaultRowHeight="12.75"/>
  <cols>
    <col min="1" max="1" width="7.125" style="270" customWidth="1"/>
    <col min="2" max="2" width="7.25390625" style="388" customWidth="1"/>
    <col min="3" max="3" width="7.125" style="270" bestFit="1" customWidth="1"/>
    <col min="4" max="4" width="34.375" style="270" customWidth="1"/>
    <col min="5" max="5" width="14.125" style="270" customWidth="1"/>
    <col min="6" max="6" width="14.625" style="270" customWidth="1"/>
    <col min="7" max="7" width="12.875" style="270" customWidth="1"/>
    <col min="8" max="16384" width="9.125" style="270" customWidth="1"/>
  </cols>
  <sheetData>
    <row r="1" spans="2:5" ht="15.75">
      <c r="B1" s="404" t="s">
        <v>666</v>
      </c>
      <c r="C1" s="404"/>
      <c r="D1" s="404"/>
      <c r="E1" s="404"/>
    </row>
    <row r="2" spans="2:7" ht="15.75">
      <c r="B2" s="387"/>
      <c r="C2" s="271"/>
      <c r="D2" s="271"/>
      <c r="E2" s="272"/>
      <c r="F2" s="272"/>
      <c r="G2" s="272"/>
    </row>
    <row r="3" spans="5:7" ht="15">
      <c r="E3" s="273" t="s">
        <v>231</v>
      </c>
      <c r="F3" s="273"/>
      <c r="G3" s="273"/>
    </row>
    <row r="4" spans="1:7" ht="15">
      <c r="A4" s="478" t="s">
        <v>177</v>
      </c>
      <c r="B4" s="478" t="s">
        <v>178</v>
      </c>
      <c r="C4" s="478" t="s">
        <v>179</v>
      </c>
      <c r="D4" s="478" t="s">
        <v>302</v>
      </c>
      <c r="E4" s="479" t="s">
        <v>94</v>
      </c>
      <c r="F4" s="480"/>
      <c r="G4" s="481"/>
    </row>
    <row r="5" spans="1:7" ht="15">
      <c r="A5" s="482"/>
      <c r="B5" s="482"/>
      <c r="C5" s="483"/>
      <c r="D5" s="483"/>
      <c r="E5" s="484"/>
      <c r="F5" s="485"/>
      <c r="G5" s="486"/>
    </row>
    <row r="6" spans="1:7" ht="15">
      <c r="A6" s="487"/>
      <c r="B6" s="487"/>
      <c r="C6" s="488"/>
      <c r="D6" s="488"/>
      <c r="E6" s="489" t="s">
        <v>311</v>
      </c>
      <c r="F6" s="490"/>
      <c r="G6" s="491"/>
    </row>
    <row r="7" spans="1:7" ht="38.25">
      <c r="A7" s="487"/>
      <c r="B7" s="487"/>
      <c r="C7" s="492"/>
      <c r="D7" s="492"/>
      <c r="E7" s="493" t="s">
        <v>406</v>
      </c>
      <c r="F7" s="493" t="s">
        <v>309</v>
      </c>
      <c r="G7" s="493" t="s">
        <v>310</v>
      </c>
    </row>
    <row r="8" spans="1:7" s="274" customFormat="1" ht="15">
      <c r="A8" s="494">
        <v>1</v>
      </c>
      <c r="B8" s="494">
        <v>2</v>
      </c>
      <c r="C8" s="494">
        <v>3</v>
      </c>
      <c r="D8" s="494">
        <v>4</v>
      </c>
      <c r="E8" s="495">
        <v>5</v>
      </c>
      <c r="F8" s="495">
        <v>6</v>
      </c>
      <c r="G8" s="495"/>
    </row>
    <row r="9" spans="1:7" ht="25.5">
      <c r="A9" s="496" t="s">
        <v>525</v>
      </c>
      <c r="B9" s="497" t="s">
        <v>526</v>
      </c>
      <c r="C9" s="496" t="s">
        <v>527</v>
      </c>
      <c r="D9" s="497" t="s">
        <v>528</v>
      </c>
      <c r="E9" s="498"/>
      <c r="F9" s="498"/>
      <c r="G9" s="498"/>
    </row>
    <row r="10" spans="1:7" s="275" customFormat="1" ht="15.75">
      <c r="A10" s="499" t="s">
        <v>358</v>
      </c>
      <c r="B10" s="500"/>
      <c r="C10" s="499"/>
      <c r="D10" s="500" t="s">
        <v>359</v>
      </c>
      <c r="E10" s="501">
        <f>E11+E13</f>
        <v>30850</v>
      </c>
      <c r="F10" s="501">
        <f>F11+F13</f>
        <v>30850</v>
      </c>
      <c r="G10" s="501">
        <f>G11+G13</f>
        <v>0</v>
      </c>
    </row>
    <row r="11" spans="1:7" s="276" customFormat="1" ht="26.25">
      <c r="A11" s="502"/>
      <c r="B11" s="503" t="s">
        <v>360</v>
      </c>
      <c r="C11" s="502"/>
      <c r="D11" s="503" t="s">
        <v>529</v>
      </c>
      <c r="E11" s="504">
        <f>E12</f>
        <v>30000</v>
      </c>
      <c r="F11" s="504">
        <f>F12</f>
        <v>30000</v>
      </c>
      <c r="G11" s="504">
        <f>G12</f>
        <v>0</v>
      </c>
    </row>
    <row r="12" spans="1:7" s="277" customFormat="1" ht="64.5">
      <c r="A12" s="75"/>
      <c r="B12" s="76"/>
      <c r="C12" s="75">
        <v>2110</v>
      </c>
      <c r="D12" s="76" t="s">
        <v>530</v>
      </c>
      <c r="E12" s="77">
        <f>F12+G12</f>
        <v>30000</v>
      </c>
      <c r="F12" s="77">
        <v>30000</v>
      </c>
      <c r="G12" s="77"/>
    </row>
    <row r="13" spans="1:7" s="277" customFormat="1" ht="15.75">
      <c r="A13" s="316"/>
      <c r="B13" s="505" t="s">
        <v>531</v>
      </c>
      <c r="C13" s="316"/>
      <c r="D13" s="505" t="s">
        <v>671</v>
      </c>
      <c r="E13" s="108">
        <f>SUM(E14)</f>
        <v>850</v>
      </c>
      <c r="F13" s="108">
        <f>SUM(F14)</f>
        <v>850</v>
      </c>
      <c r="G13" s="108">
        <f>SUM(G14)</f>
        <v>0</v>
      </c>
    </row>
    <row r="14" spans="1:7" ht="63.75">
      <c r="A14" s="75"/>
      <c r="B14" s="76"/>
      <c r="C14" s="75">
        <v>2360</v>
      </c>
      <c r="D14" s="76" t="s">
        <v>532</v>
      </c>
      <c r="E14" s="77">
        <f>F14+G14</f>
        <v>850</v>
      </c>
      <c r="F14" s="506">
        <v>850</v>
      </c>
      <c r="G14" s="506"/>
    </row>
    <row r="15" spans="1:7" s="275" customFormat="1" ht="15.75">
      <c r="A15" s="499" t="s">
        <v>363</v>
      </c>
      <c r="B15" s="500"/>
      <c r="C15" s="499"/>
      <c r="D15" s="500" t="s">
        <v>364</v>
      </c>
      <c r="E15" s="501">
        <f aca="true" t="shared" si="0" ref="E15:G16">E16</f>
        <v>276000</v>
      </c>
      <c r="F15" s="501">
        <f t="shared" si="0"/>
        <v>276000</v>
      </c>
      <c r="G15" s="501">
        <f t="shared" si="0"/>
        <v>0</v>
      </c>
    </row>
    <row r="16" spans="1:7" s="276" customFormat="1" ht="15.75">
      <c r="A16" s="499"/>
      <c r="B16" s="503" t="s">
        <v>365</v>
      </c>
      <c r="C16" s="502"/>
      <c r="D16" s="503" t="s">
        <v>366</v>
      </c>
      <c r="E16" s="504">
        <f t="shared" si="0"/>
        <v>276000</v>
      </c>
      <c r="F16" s="504">
        <f t="shared" si="0"/>
        <v>276000</v>
      </c>
      <c r="G16" s="504">
        <f t="shared" si="0"/>
        <v>0</v>
      </c>
    </row>
    <row r="17" spans="1:7" ht="63.75">
      <c r="A17" s="75"/>
      <c r="B17" s="76"/>
      <c r="C17" s="393">
        <v>2700</v>
      </c>
      <c r="D17" s="76" t="s">
        <v>312</v>
      </c>
      <c r="E17" s="77">
        <f>F17+G17</f>
        <v>276000</v>
      </c>
      <c r="F17" s="498">
        <v>276000</v>
      </c>
      <c r="G17" s="498"/>
    </row>
    <row r="18" spans="1:7" ht="15">
      <c r="A18" s="290">
        <v>600</v>
      </c>
      <c r="B18" s="290"/>
      <c r="C18" s="291"/>
      <c r="D18" s="307" t="s">
        <v>371</v>
      </c>
      <c r="E18" s="507">
        <f>SUM(E19)</f>
        <v>7823000</v>
      </c>
      <c r="F18" s="507">
        <f>SUM(F19)</f>
        <v>0</v>
      </c>
      <c r="G18" s="508">
        <f>SUM(G19)</f>
        <v>7823000</v>
      </c>
    </row>
    <row r="19" spans="1:7" ht="15">
      <c r="A19" s="295"/>
      <c r="B19" s="295">
        <v>60014</v>
      </c>
      <c r="C19" s="296"/>
      <c r="D19" s="306" t="s">
        <v>372</v>
      </c>
      <c r="E19" s="108">
        <f>SUM(E20:E26)</f>
        <v>7823000</v>
      </c>
      <c r="F19" s="108">
        <f>SUM(F20:F26)</f>
        <v>0</v>
      </c>
      <c r="G19" s="108">
        <f>SUM(G20:G26)</f>
        <v>7823000</v>
      </c>
    </row>
    <row r="20" spans="1:7" ht="63.75">
      <c r="A20" s="509"/>
      <c r="B20" s="509"/>
      <c r="C20" s="510">
        <v>2310</v>
      </c>
      <c r="D20" s="63" t="s">
        <v>164</v>
      </c>
      <c r="E20" s="77">
        <f>F20+G20</f>
        <v>0</v>
      </c>
      <c r="F20" s="498"/>
      <c r="G20" s="498"/>
    </row>
    <row r="21" spans="1:7" ht="15">
      <c r="A21" s="75"/>
      <c r="B21" s="76"/>
      <c r="C21" s="511">
        <v>6208</v>
      </c>
      <c r="D21" s="512" t="s">
        <v>148</v>
      </c>
      <c r="E21" s="77">
        <f>F21+G21</f>
        <v>3113000</v>
      </c>
      <c r="F21" s="513"/>
      <c r="G21" s="514">
        <f>3413000-300000</f>
        <v>3113000</v>
      </c>
    </row>
    <row r="22" spans="1:7" ht="15">
      <c r="A22" s="75"/>
      <c r="B22" s="76"/>
      <c r="C22" s="515">
        <v>6209</v>
      </c>
      <c r="D22" s="512" t="s">
        <v>147</v>
      </c>
      <c r="E22" s="77">
        <f>F22+G22</f>
        <v>0</v>
      </c>
      <c r="F22" s="513"/>
      <c r="G22" s="514"/>
    </row>
    <row r="23" spans="1:7" ht="15">
      <c r="A23" s="516"/>
      <c r="B23" s="516"/>
      <c r="C23" s="517"/>
      <c r="D23" s="518"/>
      <c r="E23" s="77"/>
      <c r="F23" s="498"/>
      <c r="G23" s="498"/>
    </row>
    <row r="24" spans="1:8" ht="64.5">
      <c r="A24" s="509"/>
      <c r="B24" s="509"/>
      <c r="C24" s="510">
        <v>6610</v>
      </c>
      <c r="D24" s="519" t="s">
        <v>135</v>
      </c>
      <c r="E24" s="77">
        <f>F24+G24</f>
        <v>1810000</v>
      </c>
      <c r="F24" s="520"/>
      <c r="G24" s="520">
        <f>325000+1230000+100000+50000-272000+274000+103000</f>
        <v>1810000</v>
      </c>
      <c r="H24" s="278"/>
    </row>
    <row r="25" spans="1:8" ht="64.5">
      <c r="A25" s="509"/>
      <c r="B25" s="509"/>
      <c r="C25" s="510">
        <v>6610</v>
      </c>
      <c r="D25" s="63" t="s">
        <v>135</v>
      </c>
      <c r="E25" s="77">
        <f>F25+G25</f>
        <v>0</v>
      </c>
      <c r="F25" s="520"/>
      <c r="G25" s="520"/>
      <c r="H25" s="278"/>
    </row>
    <row r="26" spans="1:8" ht="39">
      <c r="A26" s="509"/>
      <c r="B26" s="509"/>
      <c r="C26" s="510">
        <v>6430</v>
      </c>
      <c r="D26" s="76" t="s">
        <v>63</v>
      </c>
      <c r="E26" s="77">
        <f>F26+G26</f>
        <v>2900000</v>
      </c>
      <c r="F26" s="520"/>
      <c r="G26" s="520">
        <f>300000+2600000</f>
        <v>2900000</v>
      </c>
      <c r="H26" s="278"/>
    </row>
    <row r="27" spans="1:7" s="275" customFormat="1" ht="15.75">
      <c r="A27" s="499">
        <v>700</v>
      </c>
      <c r="B27" s="500"/>
      <c r="C27" s="499"/>
      <c r="D27" s="500" t="s">
        <v>395</v>
      </c>
      <c r="E27" s="501">
        <f>E28</f>
        <v>232700</v>
      </c>
      <c r="F27" s="501">
        <f>F28</f>
        <v>223700</v>
      </c>
      <c r="G27" s="501">
        <f>G28</f>
        <v>9000</v>
      </c>
    </row>
    <row r="28" spans="1:7" s="276" customFormat="1" ht="26.25">
      <c r="A28" s="502"/>
      <c r="B28" s="503">
        <v>70005</v>
      </c>
      <c r="C28" s="502"/>
      <c r="D28" s="503" t="s">
        <v>396</v>
      </c>
      <c r="E28" s="504">
        <f>SUM(E29:E33)</f>
        <v>232700</v>
      </c>
      <c r="F28" s="504">
        <f>SUM(F29:F33)</f>
        <v>223700</v>
      </c>
      <c r="G28" s="504">
        <f>SUM(G29:G33)</f>
        <v>9000</v>
      </c>
    </row>
    <row r="29" spans="1:7" ht="89.25">
      <c r="A29" s="75"/>
      <c r="B29" s="76"/>
      <c r="C29" s="75" t="s">
        <v>534</v>
      </c>
      <c r="D29" s="76" t="s">
        <v>535</v>
      </c>
      <c r="E29" s="77">
        <f>F29+G29</f>
        <v>34000</v>
      </c>
      <c r="F29" s="506">
        <v>34000</v>
      </c>
      <c r="G29" s="506"/>
    </row>
    <row r="30" spans="1:7" ht="63.75">
      <c r="A30" s="75"/>
      <c r="B30" s="76"/>
      <c r="C30" s="75">
        <v>2110</v>
      </c>
      <c r="D30" s="76" t="s">
        <v>530</v>
      </c>
      <c r="E30" s="77">
        <f>F30+G30</f>
        <v>81000</v>
      </c>
      <c r="F30" s="506">
        <f>90000-9000</f>
        <v>81000</v>
      </c>
      <c r="G30" s="506"/>
    </row>
    <row r="31" spans="1:7" ht="63.75">
      <c r="A31" s="75"/>
      <c r="B31" s="76"/>
      <c r="C31" s="75">
        <v>2360</v>
      </c>
      <c r="D31" s="76" t="s">
        <v>532</v>
      </c>
      <c r="E31" s="77">
        <f>F31+G31</f>
        <v>100000</v>
      </c>
      <c r="F31" s="506">
        <v>100000</v>
      </c>
      <c r="G31" s="506"/>
    </row>
    <row r="32" spans="1:7" ht="25.5">
      <c r="A32" s="75"/>
      <c r="B32" s="76"/>
      <c r="C32" s="75">
        <v>4700</v>
      </c>
      <c r="D32" s="76" t="s">
        <v>672</v>
      </c>
      <c r="E32" s="77">
        <f>F32+G32</f>
        <v>8700</v>
      </c>
      <c r="F32" s="506">
        <v>8700</v>
      </c>
      <c r="G32" s="506"/>
    </row>
    <row r="33" spans="1:7" ht="63.75">
      <c r="A33" s="75"/>
      <c r="B33" s="76"/>
      <c r="C33" s="396">
        <v>6410</v>
      </c>
      <c r="D33" s="348" t="s">
        <v>75</v>
      </c>
      <c r="E33" s="77">
        <f>F33+G33</f>
        <v>9000</v>
      </c>
      <c r="F33" s="506"/>
      <c r="G33" s="506">
        <v>9000</v>
      </c>
    </row>
    <row r="34" spans="1:7" s="275" customFormat="1" ht="15.75">
      <c r="A34" s="499">
        <v>710</v>
      </c>
      <c r="B34" s="500"/>
      <c r="C34" s="499"/>
      <c r="D34" s="500" t="s">
        <v>409</v>
      </c>
      <c r="E34" s="521">
        <f>SUM(E35+E37+E39)</f>
        <v>561400</v>
      </c>
      <c r="F34" s="521">
        <f>SUM(F35+F37+F39)</f>
        <v>561400</v>
      </c>
      <c r="G34" s="521">
        <f>SUM(G35+G37+G39)</f>
        <v>0</v>
      </c>
    </row>
    <row r="35" spans="1:7" s="276" customFormat="1" ht="15.75">
      <c r="A35" s="502"/>
      <c r="B35" s="503">
        <v>71013</v>
      </c>
      <c r="C35" s="502"/>
      <c r="D35" s="503" t="s">
        <v>536</v>
      </c>
      <c r="E35" s="522">
        <f>E36</f>
        <v>70000</v>
      </c>
      <c r="F35" s="522">
        <f>F36</f>
        <v>70000</v>
      </c>
      <c r="G35" s="522">
        <f>G36</f>
        <v>0</v>
      </c>
    </row>
    <row r="36" spans="1:7" ht="63.75">
      <c r="A36" s="75"/>
      <c r="B36" s="76"/>
      <c r="C36" s="75">
        <v>2110</v>
      </c>
      <c r="D36" s="76" t="s">
        <v>530</v>
      </c>
      <c r="E36" s="77">
        <f>F36+G36</f>
        <v>70000</v>
      </c>
      <c r="F36" s="506">
        <v>70000</v>
      </c>
      <c r="G36" s="506"/>
    </row>
    <row r="37" spans="1:7" s="276" customFormat="1" ht="26.25">
      <c r="A37" s="502"/>
      <c r="B37" s="503">
        <v>71014</v>
      </c>
      <c r="C37" s="502"/>
      <c r="D37" s="503" t="s">
        <v>537</v>
      </c>
      <c r="E37" s="522">
        <f>E38</f>
        <v>10400</v>
      </c>
      <c r="F37" s="522">
        <f>F38</f>
        <v>10400</v>
      </c>
      <c r="G37" s="522">
        <f>G38</f>
        <v>0</v>
      </c>
    </row>
    <row r="38" spans="1:7" ht="63.75">
      <c r="A38" s="75"/>
      <c r="B38" s="76"/>
      <c r="C38" s="75">
        <v>2110</v>
      </c>
      <c r="D38" s="76" t="s">
        <v>530</v>
      </c>
      <c r="E38" s="77">
        <f>F38+G38</f>
        <v>10400</v>
      </c>
      <c r="F38" s="506">
        <v>10400</v>
      </c>
      <c r="G38" s="506"/>
    </row>
    <row r="39" spans="1:7" s="276" customFormat="1" ht="15.75">
      <c r="A39" s="502"/>
      <c r="B39" s="503">
        <v>71015</v>
      </c>
      <c r="C39" s="502"/>
      <c r="D39" s="503" t="s">
        <v>412</v>
      </c>
      <c r="E39" s="522">
        <f>E40</f>
        <v>481000</v>
      </c>
      <c r="F39" s="522">
        <f>F40</f>
        <v>481000</v>
      </c>
      <c r="G39" s="522">
        <f>G40</f>
        <v>0</v>
      </c>
    </row>
    <row r="40" spans="1:7" ht="63.75">
      <c r="A40" s="502"/>
      <c r="B40" s="503"/>
      <c r="C40" s="75">
        <v>2110</v>
      </c>
      <c r="D40" s="76" t="s">
        <v>530</v>
      </c>
      <c r="E40" s="77">
        <f>F40+G40</f>
        <v>481000</v>
      </c>
      <c r="F40" s="506">
        <v>481000</v>
      </c>
      <c r="G40" s="506"/>
    </row>
    <row r="41" spans="1:7" s="275" customFormat="1" ht="15.75">
      <c r="A41" s="499">
        <v>750</v>
      </c>
      <c r="B41" s="500"/>
      <c r="C41" s="499"/>
      <c r="D41" s="500" t="s">
        <v>538</v>
      </c>
      <c r="E41" s="521">
        <f>SUM(E42+E44+E50)</f>
        <v>3315239</v>
      </c>
      <c r="F41" s="521">
        <f>SUM(F42+F44+F50)</f>
        <v>3315239</v>
      </c>
      <c r="G41" s="521">
        <f>SUM(G42+G44+G50)</f>
        <v>0</v>
      </c>
    </row>
    <row r="42" spans="1:7" s="276" customFormat="1" ht="15.75">
      <c r="A42" s="502"/>
      <c r="B42" s="503">
        <v>75011</v>
      </c>
      <c r="C42" s="502"/>
      <c r="D42" s="503" t="s">
        <v>539</v>
      </c>
      <c r="E42" s="522">
        <f>E43</f>
        <v>355300</v>
      </c>
      <c r="F42" s="522">
        <f>F43</f>
        <v>355300</v>
      </c>
      <c r="G42" s="522">
        <f>G43</f>
        <v>0</v>
      </c>
    </row>
    <row r="43" spans="1:7" ht="63.75">
      <c r="A43" s="75"/>
      <c r="B43" s="76"/>
      <c r="C43" s="75">
        <v>2110</v>
      </c>
      <c r="D43" s="76" t="s">
        <v>530</v>
      </c>
      <c r="E43" s="77">
        <f>F43+G43</f>
        <v>355300</v>
      </c>
      <c r="F43" s="506">
        <v>355300</v>
      </c>
      <c r="G43" s="506"/>
    </row>
    <row r="44" spans="1:7" s="276" customFormat="1" ht="15.75">
      <c r="A44" s="502"/>
      <c r="B44" s="503">
        <v>75020</v>
      </c>
      <c r="C44" s="502"/>
      <c r="D44" s="503" t="s">
        <v>510</v>
      </c>
      <c r="E44" s="522">
        <f>SUM(E45:E49)</f>
        <v>2894439</v>
      </c>
      <c r="F44" s="522">
        <f>SUM(F45:F49)</f>
        <v>2894439</v>
      </c>
      <c r="G44" s="522">
        <f>SUM(G45:G49)</f>
        <v>0</v>
      </c>
    </row>
    <row r="45" spans="1:7" ht="15">
      <c r="A45" s="75"/>
      <c r="B45" s="76"/>
      <c r="C45" s="75" t="s">
        <v>540</v>
      </c>
      <c r="D45" s="76" t="s">
        <v>541</v>
      </c>
      <c r="E45" s="77">
        <f>F45+G45</f>
        <v>2248000</v>
      </c>
      <c r="F45" s="506">
        <v>2248000</v>
      </c>
      <c r="G45" s="506"/>
    </row>
    <row r="46" spans="1:7" ht="25.5">
      <c r="A46" s="75"/>
      <c r="B46" s="76"/>
      <c r="C46" s="75" t="s">
        <v>542</v>
      </c>
      <c r="D46" s="76" t="s">
        <v>543</v>
      </c>
      <c r="E46" s="77">
        <f>F46+G46</f>
        <v>29000</v>
      </c>
      <c r="F46" s="506">
        <v>29000</v>
      </c>
      <c r="G46" s="506"/>
    </row>
    <row r="47" spans="1:7" ht="89.25">
      <c r="A47" s="75"/>
      <c r="B47" s="76"/>
      <c r="C47" s="75" t="s">
        <v>534</v>
      </c>
      <c r="D47" s="76" t="s">
        <v>535</v>
      </c>
      <c r="E47" s="77">
        <f>F47+G47</f>
        <v>598000</v>
      </c>
      <c r="F47" s="506">
        <v>598000</v>
      </c>
      <c r="G47" s="506"/>
    </row>
    <row r="48" spans="1:7" ht="15">
      <c r="A48" s="75"/>
      <c r="B48" s="76"/>
      <c r="C48" s="75" t="s">
        <v>160</v>
      </c>
      <c r="D48" s="76" t="s">
        <v>161</v>
      </c>
      <c r="E48" s="77">
        <f>F48+G48</f>
        <v>16539</v>
      </c>
      <c r="F48" s="506">
        <f>8000+8539</f>
        <v>16539</v>
      </c>
      <c r="G48" s="506"/>
    </row>
    <row r="49" spans="1:7" ht="15">
      <c r="A49" s="75"/>
      <c r="B49" s="76"/>
      <c r="C49" s="75" t="s">
        <v>155</v>
      </c>
      <c r="D49" s="76" t="s">
        <v>156</v>
      </c>
      <c r="E49" s="77">
        <f>F49+G49</f>
        <v>2900</v>
      </c>
      <c r="F49" s="506">
        <v>2900</v>
      </c>
      <c r="G49" s="506"/>
    </row>
    <row r="50" spans="1:7" s="276" customFormat="1" ht="15.75">
      <c r="A50" s="502"/>
      <c r="B50" s="503">
        <v>75045</v>
      </c>
      <c r="C50" s="502"/>
      <c r="D50" s="503" t="s">
        <v>439</v>
      </c>
      <c r="E50" s="522">
        <f>SUM(E51:E52)</f>
        <v>65500</v>
      </c>
      <c r="F50" s="236">
        <f>E50</f>
        <v>65500</v>
      </c>
      <c r="G50" s="522">
        <f>SUM(G51:G52)</f>
        <v>0</v>
      </c>
    </row>
    <row r="51" spans="1:7" ht="63.75">
      <c r="A51" s="75"/>
      <c r="B51" s="76"/>
      <c r="C51" s="75">
        <v>2110</v>
      </c>
      <c r="D51" s="76" t="s">
        <v>530</v>
      </c>
      <c r="E51" s="77">
        <f>F51+G51</f>
        <v>37500</v>
      </c>
      <c r="F51" s="506">
        <f>39000-1500</f>
        <v>37500</v>
      </c>
      <c r="G51" s="506"/>
    </row>
    <row r="52" spans="1:7" ht="63.75">
      <c r="A52" s="523"/>
      <c r="B52" s="524"/>
      <c r="C52" s="523">
        <v>2120</v>
      </c>
      <c r="D52" s="524" t="s">
        <v>546</v>
      </c>
      <c r="E52" s="77">
        <f>F52+G52</f>
        <v>28000</v>
      </c>
      <c r="F52" s="506">
        <v>28000</v>
      </c>
      <c r="G52" s="525"/>
    </row>
    <row r="53" spans="1:7" s="275" customFormat="1" ht="15.75">
      <c r="A53" s="499">
        <v>752</v>
      </c>
      <c r="B53" s="500"/>
      <c r="C53" s="499"/>
      <c r="D53" s="500" t="s">
        <v>681</v>
      </c>
      <c r="E53" s="521">
        <f>SUM(E54)</f>
        <v>5000</v>
      </c>
      <c r="F53" s="521">
        <f>SUM(F54)</f>
        <v>5000</v>
      </c>
      <c r="G53" s="521">
        <f>SUM(G54+G56+G62)</f>
        <v>0</v>
      </c>
    </row>
    <row r="54" spans="1:7" s="276" customFormat="1" ht="15.75">
      <c r="A54" s="502"/>
      <c r="B54" s="503">
        <v>75212</v>
      </c>
      <c r="C54" s="502"/>
      <c r="D54" s="503" t="s">
        <v>682</v>
      </c>
      <c r="E54" s="522">
        <f>E55</f>
        <v>5000</v>
      </c>
      <c r="F54" s="522">
        <f>F55</f>
        <v>5000</v>
      </c>
      <c r="G54" s="522">
        <f>G55</f>
        <v>0</v>
      </c>
    </row>
    <row r="55" spans="1:7" ht="63.75">
      <c r="A55" s="75"/>
      <c r="B55" s="76"/>
      <c r="C55" s="75">
        <v>2110</v>
      </c>
      <c r="D55" s="76" t="s">
        <v>530</v>
      </c>
      <c r="E55" s="77">
        <f>F55+G55</f>
        <v>5000</v>
      </c>
      <c r="F55" s="506">
        <v>5000</v>
      </c>
      <c r="G55" s="506"/>
    </row>
    <row r="56" spans="1:7" s="280" customFormat="1" ht="51.75">
      <c r="A56" s="499">
        <v>756</v>
      </c>
      <c r="B56" s="500"/>
      <c r="C56" s="499"/>
      <c r="D56" s="500" t="s">
        <v>547</v>
      </c>
      <c r="E56" s="521">
        <f>E57</f>
        <v>9640000</v>
      </c>
      <c r="F56" s="521">
        <f>F57</f>
        <v>9640000</v>
      </c>
      <c r="G56" s="521">
        <f>G57</f>
        <v>0</v>
      </c>
    </row>
    <row r="57" spans="1:7" s="276" customFormat="1" ht="26.25">
      <c r="A57" s="502"/>
      <c r="B57" s="503">
        <v>75622</v>
      </c>
      <c r="C57" s="502"/>
      <c r="D57" s="503" t="s">
        <v>548</v>
      </c>
      <c r="E57" s="522">
        <f>SUM(E58:E60)</f>
        <v>9640000</v>
      </c>
      <c r="F57" s="522">
        <f>SUM(F58:F60)</f>
        <v>9640000</v>
      </c>
      <c r="G57" s="522">
        <f>SUM(G58:G60)</f>
        <v>0</v>
      </c>
    </row>
    <row r="58" spans="1:7" ht="15">
      <c r="A58" s="502"/>
      <c r="B58" s="503"/>
      <c r="C58" s="502"/>
      <c r="D58" s="503" t="s">
        <v>549</v>
      </c>
      <c r="E58" s="506"/>
      <c r="F58" s="506"/>
      <c r="G58" s="506"/>
    </row>
    <row r="59" spans="1:7" ht="25.5">
      <c r="A59" s="75"/>
      <c r="B59" s="76"/>
      <c r="C59" s="75" t="s">
        <v>550</v>
      </c>
      <c r="D59" s="76" t="s">
        <v>551</v>
      </c>
      <c r="E59" s="77">
        <f>F59+G59</f>
        <v>9500000</v>
      </c>
      <c r="F59" s="506">
        <v>9500000</v>
      </c>
      <c r="G59" s="506"/>
    </row>
    <row r="60" spans="1:7" ht="15">
      <c r="A60" s="75"/>
      <c r="B60" s="76"/>
      <c r="C60" s="75" t="s">
        <v>552</v>
      </c>
      <c r="D60" s="76" t="s">
        <v>553</v>
      </c>
      <c r="E60" s="77">
        <f>F60+G60</f>
        <v>140000</v>
      </c>
      <c r="F60" s="506">
        <v>140000</v>
      </c>
      <c r="G60" s="506"/>
    </row>
    <row r="61" spans="1:7" s="275" customFormat="1" ht="15.75">
      <c r="A61" s="499">
        <v>758</v>
      </c>
      <c r="B61" s="500"/>
      <c r="C61" s="499"/>
      <c r="D61" s="500" t="s">
        <v>448</v>
      </c>
      <c r="E61" s="521">
        <f>SUM(E62+E64+E66+E68+E70)</f>
        <v>24315496</v>
      </c>
      <c r="F61" s="521">
        <f>SUM(F62+F64+F66+F68+F70)</f>
        <v>23875496</v>
      </c>
      <c r="G61" s="521">
        <f>SUM(G62+G66+G68+G70)</f>
        <v>0</v>
      </c>
    </row>
    <row r="62" spans="1:7" s="276" customFormat="1" ht="39">
      <c r="A62" s="502"/>
      <c r="B62" s="503">
        <v>75801</v>
      </c>
      <c r="C62" s="502"/>
      <c r="D62" s="503" t="s">
        <v>554</v>
      </c>
      <c r="E62" s="522">
        <f>E63</f>
        <v>15331528</v>
      </c>
      <c r="F62" s="522">
        <f>F63</f>
        <v>15331528</v>
      </c>
      <c r="G62" s="522">
        <f>G63</f>
        <v>0</v>
      </c>
    </row>
    <row r="63" spans="1:7" ht="15">
      <c r="A63" s="75"/>
      <c r="B63" s="76"/>
      <c r="C63" s="75">
        <v>2920</v>
      </c>
      <c r="D63" s="76" t="s">
        <v>555</v>
      </c>
      <c r="E63" s="77">
        <f>F63+G63</f>
        <v>15331528</v>
      </c>
      <c r="F63" s="506">
        <f>14971553+359975</f>
        <v>15331528</v>
      </c>
      <c r="G63" s="506"/>
    </row>
    <row r="64" spans="1:7" ht="25.5">
      <c r="A64" s="75"/>
      <c r="B64" s="503">
        <v>75802</v>
      </c>
      <c r="C64" s="75"/>
      <c r="D64" s="503" t="s">
        <v>431</v>
      </c>
      <c r="E64" s="522">
        <f>E65</f>
        <v>440000</v>
      </c>
      <c r="F64" s="522">
        <f>F65</f>
        <v>0</v>
      </c>
      <c r="G64" s="522">
        <f>G65</f>
        <v>440000</v>
      </c>
    </row>
    <row r="65" spans="1:7" ht="89.25">
      <c r="A65" s="75"/>
      <c r="B65" s="76"/>
      <c r="C65" s="526">
        <v>6180</v>
      </c>
      <c r="D65" s="76" t="s">
        <v>432</v>
      </c>
      <c r="E65" s="77">
        <f>F65+G65</f>
        <v>440000</v>
      </c>
      <c r="F65" s="506"/>
      <c r="G65" s="506">
        <v>440000</v>
      </c>
    </row>
    <row r="66" spans="1:7" s="276" customFormat="1" ht="26.25">
      <c r="A66" s="502"/>
      <c r="B66" s="503">
        <v>75803</v>
      </c>
      <c r="C66" s="502"/>
      <c r="D66" s="503" t="s">
        <v>556</v>
      </c>
      <c r="E66" s="522">
        <f>E67</f>
        <v>7871621</v>
      </c>
      <c r="F66" s="522">
        <f>F67</f>
        <v>7871621</v>
      </c>
      <c r="G66" s="522">
        <f>G67</f>
        <v>0</v>
      </c>
    </row>
    <row r="67" spans="1:7" ht="15">
      <c r="A67" s="75"/>
      <c r="B67" s="76"/>
      <c r="C67" s="75">
        <v>2920</v>
      </c>
      <c r="D67" s="76" t="s">
        <v>555</v>
      </c>
      <c r="E67" s="77">
        <f>F67+G67</f>
        <v>7871621</v>
      </c>
      <c r="F67" s="506">
        <v>7871621</v>
      </c>
      <c r="G67" s="506"/>
    </row>
    <row r="68" spans="1:7" s="276" customFormat="1" ht="26.25">
      <c r="A68" s="502"/>
      <c r="B68" s="503">
        <v>75832</v>
      </c>
      <c r="C68" s="502"/>
      <c r="D68" s="503" t="s">
        <v>557</v>
      </c>
      <c r="E68" s="522">
        <f>E69</f>
        <v>497347</v>
      </c>
      <c r="F68" s="522">
        <f>F69</f>
        <v>497347</v>
      </c>
      <c r="G68" s="522">
        <f>G69</f>
        <v>0</v>
      </c>
    </row>
    <row r="69" spans="1:7" ht="15">
      <c r="A69" s="75"/>
      <c r="B69" s="76"/>
      <c r="C69" s="75">
        <v>2920</v>
      </c>
      <c r="D69" s="76" t="s">
        <v>555</v>
      </c>
      <c r="E69" s="77">
        <f>F69+G69</f>
        <v>497347</v>
      </c>
      <c r="F69" s="506">
        <v>497347</v>
      </c>
      <c r="G69" s="506"/>
    </row>
    <row r="70" spans="1:7" s="276" customFormat="1" ht="15.75">
      <c r="A70" s="502"/>
      <c r="B70" s="503">
        <v>75814</v>
      </c>
      <c r="C70" s="502"/>
      <c r="D70" s="503" t="s">
        <v>558</v>
      </c>
      <c r="E70" s="522">
        <f>SUM(E71:E73)</f>
        <v>175000</v>
      </c>
      <c r="F70" s="522">
        <f>SUM(F71:F73)</f>
        <v>175000</v>
      </c>
      <c r="G70" s="522">
        <f>SUM(G71:G73)</f>
        <v>0</v>
      </c>
    </row>
    <row r="71" spans="1:7" s="276" customFormat="1" ht="39">
      <c r="A71" s="527"/>
      <c r="B71" s="528"/>
      <c r="C71" s="527" t="s">
        <v>641</v>
      </c>
      <c r="D71" s="528" t="s">
        <v>159</v>
      </c>
      <c r="E71" s="77">
        <f>F71+G71</f>
        <v>0</v>
      </c>
      <c r="F71" s="506"/>
      <c r="G71" s="506"/>
    </row>
    <row r="72" spans="1:7" s="276" customFormat="1" ht="15.75">
      <c r="A72" s="527"/>
      <c r="B72" s="528"/>
      <c r="C72" s="75" t="s">
        <v>160</v>
      </c>
      <c r="D72" s="76" t="s">
        <v>161</v>
      </c>
      <c r="E72" s="77">
        <f>F72+G72</f>
        <v>175000</v>
      </c>
      <c r="F72" s="506">
        <v>175000</v>
      </c>
      <c r="G72" s="506"/>
    </row>
    <row r="73" spans="1:7" s="276" customFormat="1" ht="15.75">
      <c r="A73" s="527"/>
      <c r="B73" s="528"/>
      <c r="C73" s="75" t="s">
        <v>155</v>
      </c>
      <c r="D73" s="76" t="s">
        <v>162</v>
      </c>
      <c r="E73" s="77">
        <f>F73+G73</f>
        <v>0</v>
      </c>
      <c r="F73" s="506"/>
      <c r="G73" s="506"/>
    </row>
    <row r="74" spans="1:7" s="275" customFormat="1" ht="15.75">
      <c r="A74" s="499">
        <v>801</v>
      </c>
      <c r="B74" s="500"/>
      <c r="C74" s="499"/>
      <c r="D74" s="500" t="s">
        <v>451</v>
      </c>
      <c r="E74" s="521">
        <f>SUM(E75+E79+E83+E85)</f>
        <v>75110</v>
      </c>
      <c r="F74" s="521">
        <f>SUM(F75+F79+F83+F85)</f>
        <v>75110</v>
      </c>
      <c r="G74" s="521">
        <f>SUM(G75+G79+G83+G85)</f>
        <v>0</v>
      </c>
    </row>
    <row r="75" spans="1:7" s="276" customFormat="1" ht="15.75">
      <c r="A75" s="502"/>
      <c r="B75" s="503">
        <v>80120</v>
      </c>
      <c r="C75" s="502"/>
      <c r="D75" s="503" t="s">
        <v>459</v>
      </c>
      <c r="E75" s="522">
        <f>SUM(E76:E78)</f>
        <v>9810</v>
      </c>
      <c r="F75" s="522">
        <f>SUM(F76:F78)</f>
        <v>9810</v>
      </c>
      <c r="G75" s="522">
        <f>SUM(G76:G78)</f>
        <v>0</v>
      </c>
    </row>
    <row r="76" spans="1:7" ht="89.25">
      <c r="A76" s="75"/>
      <c r="B76" s="76"/>
      <c r="C76" s="393" t="s">
        <v>534</v>
      </c>
      <c r="D76" s="76" t="s">
        <v>535</v>
      </c>
      <c r="E76" s="77">
        <f>F76+G76</f>
        <v>5610</v>
      </c>
      <c r="F76" s="506">
        <v>5610</v>
      </c>
      <c r="G76" s="506"/>
    </row>
    <row r="77" spans="1:7" ht="15">
      <c r="A77" s="75"/>
      <c r="B77" s="76"/>
      <c r="C77" s="393" t="s">
        <v>673</v>
      </c>
      <c r="D77" s="76" t="s">
        <v>674</v>
      </c>
      <c r="E77" s="77">
        <f>F77+G77</f>
        <v>200</v>
      </c>
      <c r="F77" s="506">
        <v>200</v>
      </c>
      <c r="G77" s="506"/>
    </row>
    <row r="78" spans="1:7" ht="15">
      <c r="A78" s="75"/>
      <c r="B78" s="76"/>
      <c r="C78" s="393" t="s">
        <v>160</v>
      </c>
      <c r="D78" s="76" t="s">
        <v>161</v>
      </c>
      <c r="E78" s="77">
        <f>F78+G78</f>
        <v>4000</v>
      </c>
      <c r="F78" s="506">
        <v>4000</v>
      </c>
      <c r="G78" s="506"/>
    </row>
    <row r="79" spans="1:7" s="276" customFormat="1" ht="15.75">
      <c r="A79" s="502"/>
      <c r="B79" s="503">
        <v>80130</v>
      </c>
      <c r="C79" s="502"/>
      <c r="D79" s="503" t="s">
        <v>560</v>
      </c>
      <c r="E79" s="522">
        <f>SUM(E80:E82)</f>
        <v>31000</v>
      </c>
      <c r="F79" s="522">
        <f>SUM(F80:F82)</f>
        <v>31000</v>
      </c>
      <c r="G79" s="522">
        <f>SUM(G81:G81)</f>
        <v>0</v>
      </c>
    </row>
    <row r="80" spans="1:7" s="276" customFormat="1" ht="15.75">
      <c r="A80" s="502"/>
      <c r="B80" s="503"/>
      <c r="C80" s="529" t="s">
        <v>433</v>
      </c>
      <c r="D80" s="528" t="s">
        <v>559</v>
      </c>
      <c r="E80" s="77">
        <f>F80+G80</f>
        <v>17000</v>
      </c>
      <c r="F80" s="506">
        <v>17000</v>
      </c>
      <c r="G80" s="522"/>
    </row>
    <row r="81" spans="1:7" ht="89.25">
      <c r="A81" s="75"/>
      <c r="B81" s="76"/>
      <c r="C81" s="530" t="s">
        <v>534</v>
      </c>
      <c r="D81" s="76" t="s">
        <v>535</v>
      </c>
      <c r="E81" s="77">
        <f>F81+G81</f>
        <v>9000</v>
      </c>
      <c r="F81" s="506">
        <v>9000</v>
      </c>
      <c r="G81" s="506"/>
    </row>
    <row r="82" spans="1:7" ht="15">
      <c r="A82" s="75"/>
      <c r="B82" s="76"/>
      <c r="C82" s="530" t="s">
        <v>434</v>
      </c>
      <c r="D82" s="76" t="s">
        <v>26</v>
      </c>
      <c r="E82" s="77">
        <f>F82+G82</f>
        <v>5000</v>
      </c>
      <c r="F82" s="506">
        <v>5000</v>
      </c>
      <c r="G82" s="506"/>
    </row>
    <row r="83" spans="1:7" s="276" customFormat="1" ht="15.75">
      <c r="A83" s="502"/>
      <c r="B83" s="503">
        <v>80132</v>
      </c>
      <c r="C83" s="531"/>
      <c r="D83" s="503" t="s">
        <v>466</v>
      </c>
      <c r="E83" s="522">
        <f>SUM(E84:E84)</f>
        <v>34300</v>
      </c>
      <c r="F83" s="522">
        <f>SUM(F84:F84)</f>
        <v>34300</v>
      </c>
      <c r="G83" s="522">
        <f>SUM(G84:G84)</f>
        <v>0</v>
      </c>
    </row>
    <row r="84" spans="1:7" ht="63.75">
      <c r="A84" s="75"/>
      <c r="B84" s="76"/>
      <c r="C84" s="75">
        <v>2710</v>
      </c>
      <c r="D84" s="76" t="s">
        <v>561</v>
      </c>
      <c r="E84" s="77">
        <f>F84+G84</f>
        <v>34300</v>
      </c>
      <c r="F84" s="506">
        <v>34300</v>
      </c>
      <c r="G84" s="506"/>
    </row>
    <row r="85" spans="1:7" s="277" customFormat="1" ht="15.75">
      <c r="A85" s="316"/>
      <c r="B85" s="505">
        <v>80195</v>
      </c>
      <c r="C85" s="316"/>
      <c r="D85" s="505" t="s">
        <v>443</v>
      </c>
      <c r="E85" s="236">
        <f>SUM(E86:E89)</f>
        <v>0</v>
      </c>
      <c r="F85" s="236">
        <f>SUM(F86:F89)</f>
        <v>0</v>
      </c>
      <c r="G85" s="236">
        <f>SUM(G88:G88)</f>
        <v>0</v>
      </c>
    </row>
    <row r="86" spans="1:7" s="281" customFormat="1" ht="25.5">
      <c r="A86" s="75"/>
      <c r="B86" s="76"/>
      <c r="C86" s="75">
        <v>2008</v>
      </c>
      <c r="D86" s="76" t="s">
        <v>399</v>
      </c>
      <c r="E86" s="77">
        <f>F86+G86</f>
        <v>0</v>
      </c>
      <c r="F86" s="532"/>
      <c r="G86" s="513"/>
    </row>
    <row r="87" spans="1:7" s="281" customFormat="1" ht="25.5">
      <c r="A87" s="75"/>
      <c r="B87" s="76"/>
      <c r="C87" s="393">
        <v>2009</v>
      </c>
      <c r="D87" s="76" t="s">
        <v>399</v>
      </c>
      <c r="E87" s="77">
        <f>F87+G87</f>
        <v>0</v>
      </c>
      <c r="F87" s="532"/>
      <c r="G87" s="513"/>
    </row>
    <row r="88" spans="1:7" ht="63.75">
      <c r="A88" s="75"/>
      <c r="B88" s="76"/>
      <c r="C88" s="393">
        <v>2700</v>
      </c>
      <c r="D88" s="76" t="s">
        <v>312</v>
      </c>
      <c r="E88" s="77">
        <f>F88+G88</f>
        <v>0</v>
      </c>
      <c r="F88" s="498"/>
      <c r="G88" s="498"/>
    </row>
    <row r="89" spans="1:7" ht="38.25">
      <c r="A89" s="75"/>
      <c r="B89" s="76"/>
      <c r="C89" s="75">
        <v>2130</v>
      </c>
      <c r="D89" s="76" t="s">
        <v>567</v>
      </c>
      <c r="E89" s="77">
        <f>F89+G89</f>
        <v>0</v>
      </c>
      <c r="F89" s="506"/>
      <c r="G89" s="506"/>
    </row>
    <row r="90" spans="1:7" ht="15">
      <c r="A90" s="75"/>
      <c r="B90" s="76"/>
      <c r="C90" s="393"/>
      <c r="D90" s="76"/>
      <c r="E90" s="498"/>
      <c r="F90" s="498"/>
      <c r="G90" s="498"/>
    </row>
    <row r="91" spans="1:7" s="275" customFormat="1" ht="15.75">
      <c r="A91" s="499">
        <v>851</v>
      </c>
      <c r="B91" s="500"/>
      <c r="C91" s="499"/>
      <c r="D91" s="500" t="s">
        <v>475</v>
      </c>
      <c r="E91" s="521">
        <f>SUM(E92)</f>
        <v>1174000</v>
      </c>
      <c r="F91" s="521">
        <f>SUM(F92)</f>
        <v>1174000</v>
      </c>
      <c r="G91" s="521">
        <f>SUM(G92)</f>
        <v>0</v>
      </c>
    </row>
    <row r="92" spans="1:7" s="276" customFormat="1" ht="51.75">
      <c r="A92" s="502"/>
      <c r="B92" s="503">
        <v>85156</v>
      </c>
      <c r="C92" s="502"/>
      <c r="D92" s="503" t="s">
        <v>563</v>
      </c>
      <c r="E92" s="522">
        <f>E93</f>
        <v>1174000</v>
      </c>
      <c r="F92" s="522">
        <f>F93</f>
        <v>1174000</v>
      </c>
      <c r="G92" s="522">
        <f>G93</f>
        <v>0</v>
      </c>
    </row>
    <row r="93" spans="1:7" ht="63.75">
      <c r="A93" s="75"/>
      <c r="B93" s="76"/>
      <c r="C93" s="75">
        <v>2110</v>
      </c>
      <c r="D93" s="76" t="s">
        <v>530</v>
      </c>
      <c r="E93" s="77">
        <f>F93+G93</f>
        <v>1174000</v>
      </c>
      <c r="F93" s="506">
        <v>1174000</v>
      </c>
      <c r="G93" s="506"/>
    </row>
    <row r="94" spans="1:7" s="275" customFormat="1" ht="15.75">
      <c r="A94" s="499">
        <v>852</v>
      </c>
      <c r="B94" s="500"/>
      <c r="C94" s="499"/>
      <c r="D94" s="500" t="s">
        <v>564</v>
      </c>
      <c r="E94" s="521">
        <f>SUM(E95+E101+E108+E110+E113)</f>
        <v>10134020</v>
      </c>
      <c r="F94" s="521">
        <f>SUM(F95+F101+F108+F110+F113)</f>
        <v>10134020</v>
      </c>
      <c r="G94" s="521">
        <f>SUM(G95+G101+G108+G110)</f>
        <v>0</v>
      </c>
    </row>
    <row r="95" spans="1:7" s="276" customFormat="1" ht="26.25">
      <c r="A95" s="502"/>
      <c r="B95" s="503">
        <v>85201</v>
      </c>
      <c r="C95" s="502"/>
      <c r="D95" s="503" t="s">
        <v>565</v>
      </c>
      <c r="E95" s="522">
        <f>SUM(E96:E100)</f>
        <v>71470</v>
      </c>
      <c r="F95" s="522">
        <f>SUM(F96:F100)</f>
        <v>71470</v>
      </c>
      <c r="G95" s="522">
        <f>SUM(G96:G100)</f>
        <v>0</v>
      </c>
    </row>
    <row r="96" spans="1:7" ht="63.75">
      <c r="A96" s="75"/>
      <c r="B96" s="76"/>
      <c r="C96" s="393">
        <v>2320</v>
      </c>
      <c r="D96" s="326" t="s">
        <v>562</v>
      </c>
      <c r="E96" s="77">
        <f>F96+G96</f>
        <v>67220</v>
      </c>
      <c r="F96" s="506">
        <v>67220</v>
      </c>
      <c r="G96" s="506"/>
    </row>
    <row r="97" spans="1:7" ht="38.25">
      <c r="A97" s="75"/>
      <c r="B97" s="76"/>
      <c r="C97" s="393" t="s">
        <v>675</v>
      </c>
      <c r="D97" s="326" t="s">
        <v>676</v>
      </c>
      <c r="E97" s="77">
        <f>F97+G97</f>
        <v>2000</v>
      </c>
      <c r="F97" s="506">
        <v>2000</v>
      </c>
      <c r="G97" s="506"/>
    </row>
    <row r="98" spans="1:7" ht="15">
      <c r="A98" s="75"/>
      <c r="B98" s="76"/>
      <c r="C98" s="393" t="s">
        <v>544</v>
      </c>
      <c r="D98" s="326" t="s">
        <v>559</v>
      </c>
      <c r="E98" s="77">
        <f>F98+G98</f>
        <v>1750</v>
      </c>
      <c r="F98" s="506">
        <v>1750</v>
      </c>
      <c r="G98" s="506"/>
    </row>
    <row r="99" spans="1:7" ht="15">
      <c r="A99" s="75"/>
      <c r="B99" s="76"/>
      <c r="C99" s="393" t="s">
        <v>160</v>
      </c>
      <c r="D99" s="326" t="s">
        <v>161</v>
      </c>
      <c r="E99" s="77">
        <f>F99+G99</f>
        <v>500</v>
      </c>
      <c r="F99" s="506">
        <v>500</v>
      </c>
      <c r="G99" s="506"/>
    </row>
    <row r="100" spans="1:7" ht="51">
      <c r="A100" s="75"/>
      <c r="B100" s="76"/>
      <c r="C100" s="393">
        <v>6430</v>
      </c>
      <c r="D100" s="150" t="s">
        <v>405</v>
      </c>
      <c r="E100" s="77">
        <f>F100+G100</f>
        <v>0</v>
      </c>
      <c r="F100" s="506"/>
      <c r="G100" s="506"/>
    </row>
    <row r="101" spans="1:7" s="276" customFormat="1" ht="15.75">
      <c r="A101" s="502"/>
      <c r="B101" s="503">
        <v>85202</v>
      </c>
      <c r="C101" s="502"/>
      <c r="D101" s="503" t="s">
        <v>566</v>
      </c>
      <c r="E101" s="522">
        <f>SUM(E102:E107)</f>
        <v>9086800</v>
      </c>
      <c r="F101" s="522">
        <f>SUM(F102:F107)</f>
        <v>9086800</v>
      </c>
      <c r="G101" s="522">
        <f>SUM(G102:G107)</f>
        <v>0</v>
      </c>
    </row>
    <row r="102" spans="1:7" ht="89.25">
      <c r="A102" s="75"/>
      <c r="B102" s="76"/>
      <c r="C102" s="75" t="s">
        <v>534</v>
      </c>
      <c r="D102" s="76" t="s">
        <v>535</v>
      </c>
      <c r="E102" s="77">
        <f aca="true" t="shared" si="1" ref="E102:E107">F102+G102</f>
        <v>33700</v>
      </c>
      <c r="F102" s="506">
        <v>33700</v>
      </c>
      <c r="G102" s="506"/>
    </row>
    <row r="103" spans="1:7" ht="15">
      <c r="A103" s="75"/>
      <c r="B103" s="76"/>
      <c r="C103" s="393" t="s">
        <v>544</v>
      </c>
      <c r="D103" s="76" t="s">
        <v>559</v>
      </c>
      <c r="E103" s="77">
        <f t="shared" si="1"/>
        <v>4546000</v>
      </c>
      <c r="F103" s="506">
        <f>3946000+600000</f>
        <v>4546000</v>
      </c>
      <c r="G103" s="506"/>
    </row>
    <row r="104" spans="1:7" ht="38.25">
      <c r="A104" s="75"/>
      <c r="B104" s="76"/>
      <c r="C104" s="533">
        <v>2130</v>
      </c>
      <c r="D104" s="534" t="s">
        <v>567</v>
      </c>
      <c r="E104" s="77">
        <f t="shared" si="1"/>
        <v>4498000</v>
      </c>
      <c r="F104" s="506">
        <f>5734000-1236000</f>
        <v>4498000</v>
      </c>
      <c r="G104" s="506"/>
    </row>
    <row r="105" spans="1:7" ht="15">
      <c r="A105" s="75"/>
      <c r="B105" s="76"/>
      <c r="C105" s="393" t="s">
        <v>673</v>
      </c>
      <c r="D105" s="76" t="s">
        <v>674</v>
      </c>
      <c r="E105" s="77">
        <f t="shared" si="1"/>
        <v>100</v>
      </c>
      <c r="F105" s="506">
        <v>100</v>
      </c>
      <c r="G105" s="506"/>
    </row>
    <row r="106" spans="1:7" ht="15">
      <c r="A106" s="75"/>
      <c r="B106" s="76"/>
      <c r="C106" s="393" t="s">
        <v>160</v>
      </c>
      <c r="D106" s="76" t="s">
        <v>161</v>
      </c>
      <c r="E106" s="77">
        <f t="shared" si="1"/>
        <v>5500</v>
      </c>
      <c r="F106" s="506">
        <v>5500</v>
      </c>
      <c r="G106" s="506"/>
    </row>
    <row r="107" spans="1:7" ht="15">
      <c r="A107" s="75"/>
      <c r="B107" s="76"/>
      <c r="C107" s="393" t="s">
        <v>155</v>
      </c>
      <c r="D107" s="76" t="s">
        <v>677</v>
      </c>
      <c r="E107" s="77">
        <f t="shared" si="1"/>
        <v>3500</v>
      </c>
      <c r="F107" s="506">
        <v>3500</v>
      </c>
      <c r="G107" s="506"/>
    </row>
    <row r="108" spans="1:7" s="276" customFormat="1" ht="15.75">
      <c r="A108" s="502"/>
      <c r="B108" s="503">
        <v>85203</v>
      </c>
      <c r="C108" s="502"/>
      <c r="D108" s="535" t="s">
        <v>491</v>
      </c>
      <c r="E108" s="522">
        <f>SUM(E109:E109)</f>
        <v>750000</v>
      </c>
      <c r="F108" s="522">
        <f>SUM(F109:F109)</f>
        <v>750000</v>
      </c>
      <c r="G108" s="522">
        <f>SUM(G109:G109)</f>
        <v>0</v>
      </c>
    </row>
    <row r="109" spans="1:7" ht="63.75">
      <c r="A109" s="75"/>
      <c r="B109" s="76"/>
      <c r="C109" s="75">
        <v>2110</v>
      </c>
      <c r="D109" s="76" t="s">
        <v>530</v>
      </c>
      <c r="E109" s="77">
        <f>F109+G109</f>
        <v>750000</v>
      </c>
      <c r="F109" s="506">
        <v>750000</v>
      </c>
      <c r="G109" s="506"/>
    </row>
    <row r="110" spans="1:7" s="276" customFormat="1" ht="15.75">
      <c r="A110" s="502"/>
      <c r="B110" s="503">
        <v>85204</v>
      </c>
      <c r="C110" s="502"/>
      <c r="D110" s="503" t="s">
        <v>492</v>
      </c>
      <c r="E110" s="522">
        <f>SUM(E111:E112)</f>
        <v>220900</v>
      </c>
      <c r="F110" s="522">
        <f>SUM(F111:F112)</f>
        <v>220900</v>
      </c>
      <c r="G110" s="522">
        <f>SUM(G111:G112)</f>
        <v>0</v>
      </c>
    </row>
    <row r="111" spans="1:7" ht="15">
      <c r="A111" s="527"/>
      <c r="B111" s="528"/>
      <c r="C111" s="527" t="s">
        <v>533</v>
      </c>
      <c r="D111" s="528" t="s">
        <v>678</v>
      </c>
      <c r="E111" s="77">
        <f>F111+G111</f>
        <v>2500</v>
      </c>
      <c r="F111" s="506">
        <v>2500</v>
      </c>
      <c r="G111" s="506"/>
    </row>
    <row r="112" spans="1:7" ht="63.75">
      <c r="A112" s="75"/>
      <c r="B112" s="76"/>
      <c r="C112" s="393">
        <v>2320</v>
      </c>
      <c r="D112" s="326" t="s">
        <v>562</v>
      </c>
      <c r="E112" s="77">
        <f>F112+G112</f>
        <v>218400</v>
      </c>
      <c r="F112" s="506">
        <v>218400</v>
      </c>
      <c r="G112" s="506"/>
    </row>
    <row r="113" spans="1:7" s="276" customFormat="1" ht="25.5">
      <c r="A113" s="502"/>
      <c r="B113" s="503">
        <v>85218</v>
      </c>
      <c r="C113" s="502"/>
      <c r="D113" s="535" t="s">
        <v>173</v>
      </c>
      <c r="E113" s="522">
        <f>SUM(E114:E116)</f>
        <v>4850</v>
      </c>
      <c r="F113" s="522">
        <f>SUM(F114:F116)</f>
        <v>4850</v>
      </c>
      <c r="G113" s="522">
        <f>SUM(G114:G115)</f>
        <v>0</v>
      </c>
    </row>
    <row r="114" spans="1:7" ht="15">
      <c r="A114" s="75"/>
      <c r="B114" s="76"/>
      <c r="C114" s="75" t="s">
        <v>544</v>
      </c>
      <c r="D114" s="76" t="s">
        <v>679</v>
      </c>
      <c r="E114" s="77">
        <f>F114+G114</f>
        <v>350</v>
      </c>
      <c r="F114" s="506">
        <v>350</v>
      </c>
      <c r="G114" s="506"/>
    </row>
    <row r="115" spans="1:7" ht="15">
      <c r="A115" s="75"/>
      <c r="B115" s="76"/>
      <c r="C115" s="75" t="s">
        <v>160</v>
      </c>
      <c r="D115" s="76" t="s">
        <v>161</v>
      </c>
      <c r="E115" s="77">
        <f>F115+G115</f>
        <v>1500</v>
      </c>
      <c r="F115" s="506">
        <v>1500</v>
      </c>
      <c r="G115" s="506"/>
    </row>
    <row r="116" spans="1:7" ht="38.25">
      <c r="A116" s="75"/>
      <c r="B116" s="76"/>
      <c r="C116" s="75">
        <v>2130</v>
      </c>
      <c r="D116" s="76" t="s">
        <v>567</v>
      </c>
      <c r="E116" s="77">
        <f>F116+G116</f>
        <v>3000</v>
      </c>
      <c r="F116" s="506">
        <v>3000</v>
      </c>
      <c r="G116" s="506"/>
    </row>
    <row r="117" spans="1:7" s="275" customFormat="1" ht="26.25">
      <c r="A117" s="499">
        <v>853</v>
      </c>
      <c r="B117" s="500"/>
      <c r="C117" s="536"/>
      <c r="D117" s="500" t="s">
        <v>568</v>
      </c>
      <c r="E117" s="521">
        <f>SUM(E118+E120+E126+E128)</f>
        <v>3886230</v>
      </c>
      <c r="F117" s="521">
        <f>SUM(F118+F120+F126+F128)</f>
        <v>3880110</v>
      </c>
      <c r="G117" s="521">
        <f>SUM(G118+G120+G126+G128)</f>
        <v>6120</v>
      </c>
    </row>
    <row r="118" spans="1:7" s="276" customFormat="1" ht="26.25">
      <c r="A118" s="502"/>
      <c r="B118" s="503">
        <v>85321</v>
      </c>
      <c r="C118" s="502"/>
      <c r="D118" s="503" t="s">
        <v>384</v>
      </c>
      <c r="E118" s="522">
        <f>E119</f>
        <v>116000</v>
      </c>
      <c r="F118" s="522">
        <f>F119</f>
        <v>116000</v>
      </c>
      <c r="G118" s="522">
        <f>G119</f>
        <v>0</v>
      </c>
    </row>
    <row r="119" spans="1:7" ht="63.75">
      <c r="A119" s="75"/>
      <c r="B119" s="76"/>
      <c r="C119" s="75">
        <v>2110</v>
      </c>
      <c r="D119" s="76" t="s">
        <v>530</v>
      </c>
      <c r="E119" s="77">
        <f>F119+G119</f>
        <v>116000</v>
      </c>
      <c r="F119" s="506">
        <v>116000</v>
      </c>
      <c r="G119" s="506"/>
    </row>
    <row r="120" spans="1:7" s="276" customFormat="1" ht="15.75">
      <c r="A120" s="502"/>
      <c r="B120" s="503">
        <v>85333</v>
      </c>
      <c r="C120" s="502"/>
      <c r="D120" s="503" t="s">
        <v>569</v>
      </c>
      <c r="E120" s="522">
        <f>SUM(E121:E125)</f>
        <v>752100</v>
      </c>
      <c r="F120" s="522">
        <f>SUM(F121:F125)</f>
        <v>752100</v>
      </c>
      <c r="G120" s="522">
        <f>SUM(G121:G125)</f>
        <v>0</v>
      </c>
    </row>
    <row r="121" spans="1:7" s="276" customFormat="1" ht="90">
      <c r="A121" s="502"/>
      <c r="B121" s="503"/>
      <c r="C121" s="75" t="s">
        <v>534</v>
      </c>
      <c r="D121" s="76" t="s">
        <v>535</v>
      </c>
      <c r="E121" s="77">
        <f>F121+G121</f>
        <v>9000</v>
      </c>
      <c r="F121" s="506">
        <v>9000</v>
      </c>
      <c r="G121" s="522"/>
    </row>
    <row r="122" spans="1:7" ht="15">
      <c r="A122" s="75"/>
      <c r="B122" s="76"/>
      <c r="C122" s="75" t="s">
        <v>544</v>
      </c>
      <c r="D122" s="76" t="s">
        <v>679</v>
      </c>
      <c r="E122" s="77">
        <f>F122+G122</f>
        <v>1000</v>
      </c>
      <c r="F122" s="506">
        <v>1000</v>
      </c>
      <c r="G122" s="506"/>
    </row>
    <row r="123" spans="1:7" ht="15">
      <c r="A123" s="75"/>
      <c r="B123" s="76"/>
      <c r="C123" s="75" t="s">
        <v>160</v>
      </c>
      <c r="D123" s="76" t="s">
        <v>161</v>
      </c>
      <c r="E123" s="77">
        <f>F123+G123</f>
        <v>1500</v>
      </c>
      <c r="F123" s="506">
        <v>1500</v>
      </c>
      <c r="G123" s="506"/>
    </row>
    <row r="124" spans="1:7" s="276" customFormat="1" ht="26.25">
      <c r="A124" s="502"/>
      <c r="B124" s="503"/>
      <c r="C124" s="75">
        <v>2008</v>
      </c>
      <c r="D124" s="76" t="s">
        <v>399</v>
      </c>
      <c r="E124" s="77">
        <f>F124+G124</f>
        <v>0</v>
      </c>
      <c r="F124" s="506"/>
      <c r="G124" s="522"/>
    </row>
    <row r="125" spans="1:7" ht="76.5">
      <c r="A125" s="75"/>
      <c r="B125" s="76"/>
      <c r="C125" s="393">
        <v>2690</v>
      </c>
      <c r="D125" s="76" t="s">
        <v>95</v>
      </c>
      <c r="E125" s="77">
        <f>F125+G125</f>
        <v>740600</v>
      </c>
      <c r="F125" s="506">
        <f>684300+56300</f>
        <v>740600</v>
      </c>
      <c r="G125" s="506"/>
    </row>
    <row r="126" spans="1:7" s="276" customFormat="1" ht="15.75">
      <c r="A126" s="502"/>
      <c r="B126" s="503">
        <v>85334</v>
      </c>
      <c r="C126" s="502"/>
      <c r="D126" s="503" t="s">
        <v>127</v>
      </c>
      <c r="E126" s="522">
        <f>E127</f>
        <v>0</v>
      </c>
      <c r="F126" s="522">
        <f>F127</f>
        <v>0</v>
      </c>
      <c r="G126" s="522">
        <f>G127</f>
        <v>0</v>
      </c>
    </row>
    <row r="127" spans="1:7" ht="63.75">
      <c r="A127" s="75"/>
      <c r="B127" s="76"/>
      <c r="C127" s="75">
        <v>2110</v>
      </c>
      <c r="D127" s="76" t="s">
        <v>530</v>
      </c>
      <c r="E127" s="77">
        <f>F127+G127</f>
        <v>0</v>
      </c>
      <c r="F127" s="506"/>
      <c r="G127" s="506"/>
    </row>
    <row r="128" spans="1:7" ht="15">
      <c r="A128" s="502"/>
      <c r="B128" s="503">
        <v>83395</v>
      </c>
      <c r="C128" s="502"/>
      <c r="D128" s="503" t="s">
        <v>443</v>
      </c>
      <c r="E128" s="537">
        <f>SUM(E129:E135)</f>
        <v>3018130</v>
      </c>
      <c r="F128" s="537">
        <f>SUM(F129:F135)</f>
        <v>3012010</v>
      </c>
      <c r="G128" s="537">
        <f>SUM(G129:G135)</f>
        <v>6120</v>
      </c>
    </row>
    <row r="129" spans="1:7" ht="25.5">
      <c r="A129" s="75"/>
      <c r="B129" s="76"/>
      <c r="C129" s="511">
        <v>2008</v>
      </c>
      <c r="D129" s="512" t="s">
        <v>399</v>
      </c>
      <c r="E129" s="77">
        <f aca="true" t="shared" si="2" ref="E129:E135">F129+G129</f>
        <v>2618313</v>
      </c>
      <c r="F129" s="513">
        <f>838045+707285+1072983</f>
        <v>2618313</v>
      </c>
      <c r="G129" s="514"/>
    </row>
    <row r="130" spans="1:7" ht="25.5">
      <c r="A130" s="75"/>
      <c r="B130" s="76"/>
      <c r="C130" s="515">
        <v>2009</v>
      </c>
      <c r="D130" s="512" t="s">
        <v>399</v>
      </c>
      <c r="E130" s="77">
        <f t="shared" si="2"/>
        <v>158742</v>
      </c>
      <c r="F130" s="513">
        <f>30292+128450</f>
        <v>158742</v>
      </c>
      <c r="G130" s="514"/>
    </row>
    <row r="131" spans="1:7" ht="15">
      <c r="A131" s="75"/>
      <c r="B131" s="76"/>
      <c r="C131" s="511">
        <v>6208</v>
      </c>
      <c r="D131" s="512" t="s">
        <v>148</v>
      </c>
      <c r="E131" s="77">
        <f t="shared" si="2"/>
        <v>0</v>
      </c>
      <c r="F131" s="513"/>
      <c r="G131" s="514"/>
    </row>
    <row r="132" spans="1:7" ht="15">
      <c r="A132" s="75"/>
      <c r="B132" s="76"/>
      <c r="C132" s="515">
        <v>6209</v>
      </c>
      <c r="D132" s="512" t="s">
        <v>147</v>
      </c>
      <c r="E132" s="77">
        <f t="shared" si="2"/>
        <v>0</v>
      </c>
      <c r="F132" s="513"/>
      <c r="G132" s="514"/>
    </row>
    <row r="133" spans="1:7" ht="15">
      <c r="A133" s="75"/>
      <c r="B133" s="76"/>
      <c r="C133" s="393">
        <v>6208</v>
      </c>
      <c r="D133" s="76" t="s">
        <v>46</v>
      </c>
      <c r="E133" s="77">
        <f>G133</f>
        <v>6120</v>
      </c>
      <c r="F133" s="513"/>
      <c r="G133" s="514">
        <v>6120</v>
      </c>
    </row>
    <row r="134" spans="1:7" ht="51">
      <c r="A134" s="75"/>
      <c r="B134" s="76"/>
      <c r="C134" s="538">
        <v>2310</v>
      </c>
      <c r="D134" s="512" t="s">
        <v>680</v>
      </c>
      <c r="E134" s="77">
        <f t="shared" si="2"/>
        <v>99384</v>
      </c>
      <c r="F134" s="513">
        <f>232+99152</f>
        <v>99384</v>
      </c>
      <c r="G134" s="514"/>
    </row>
    <row r="135" spans="1:7" ht="51">
      <c r="A135" s="75"/>
      <c r="B135" s="76"/>
      <c r="C135" s="538">
        <v>2320</v>
      </c>
      <c r="D135" s="512" t="s">
        <v>400</v>
      </c>
      <c r="E135" s="77">
        <f t="shared" si="2"/>
        <v>135571</v>
      </c>
      <c r="F135" s="513">
        <f>117367+18204</f>
        <v>135571</v>
      </c>
      <c r="G135" s="514"/>
    </row>
    <row r="136" spans="1:7" s="275" customFormat="1" ht="26.25">
      <c r="A136" s="499">
        <v>854</v>
      </c>
      <c r="B136" s="500"/>
      <c r="C136" s="499"/>
      <c r="D136" s="500" t="s">
        <v>503</v>
      </c>
      <c r="E136" s="521">
        <f>SUM(E139+E142+E144+E137+E150)</f>
        <v>18000</v>
      </c>
      <c r="F136" s="521">
        <f>SUM(F139+F142+F144+F137+F150)</f>
        <v>18000</v>
      </c>
      <c r="G136" s="521">
        <f>SUM(G139+G142+G144+G137+G150)</f>
        <v>0</v>
      </c>
    </row>
    <row r="137" spans="1:7" s="276" customFormat="1" ht="26.25">
      <c r="A137" s="502"/>
      <c r="B137" s="503">
        <v>85406</v>
      </c>
      <c r="C137" s="502"/>
      <c r="D137" s="503" t="s">
        <v>664</v>
      </c>
      <c r="E137" s="522">
        <f>SUM(E138)</f>
        <v>0</v>
      </c>
      <c r="F137" s="522">
        <f>SUM(F138)</f>
        <v>0</v>
      </c>
      <c r="G137" s="522">
        <f>SUM(G138:G139)</f>
        <v>0</v>
      </c>
    </row>
    <row r="138" spans="1:7" ht="38.25">
      <c r="A138" s="75"/>
      <c r="B138" s="76"/>
      <c r="C138" s="75">
        <v>2130</v>
      </c>
      <c r="D138" s="76" t="s">
        <v>567</v>
      </c>
      <c r="E138" s="77">
        <f>F138+G138</f>
        <v>0</v>
      </c>
      <c r="F138" s="506"/>
      <c r="G138" s="506"/>
    </row>
    <row r="139" spans="1:7" s="276" customFormat="1" ht="15.75">
      <c r="A139" s="502"/>
      <c r="B139" s="503">
        <v>85410</v>
      </c>
      <c r="C139" s="502"/>
      <c r="D139" s="503" t="s">
        <v>570</v>
      </c>
      <c r="E139" s="522">
        <f>SUM(E140:E141)</f>
        <v>9000</v>
      </c>
      <c r="F139" s="522">
        <f>SUM(F140:F141)</f>
        <v>9000</v>
      </c>
      <c r="G139" s="522">
        <f>SUM(G140:G141)</f>
        <v>0</v>
      </c>
    </row>
    <row r="140" spans="1:7" ht="89.25">
      <c r="A140" s="75"/>
      <c r="B140" s="76"/>
      <c r="C140" s="75" t="s">
        <v>534</v>
      </c>
      <c r="D140" s="76" t="s">
        <v>535</v>
      </c>
      <c r="E140" s="77">
        <f>F140+G140</f>
        <v>3000</v>
      </c>
      <c r="F140" s="506">
        <v>3000</v>
      </c>
      <c r="G140" s="506"/>
    </row>
    <row r="141" spans="1:7" ht="15">
      <c r="A141" s="75"/>
      <c r="B141" s="76"/>
      <c r="C141" s="75" t="s">
        <v>544</v>
      </c>
      <c r="D141" s="76" t="s">
        <v>679</v>
      </c>
      <c r="E141" s="77">
        <f>F141+G141</f>
        <v>6000</v>
      </c>
      <c r="F141" s="506">
        <v>6000</v>
      </c>
      <c r="G141" s="506"/>
    </row>
    <row r="142" spans="1:7" ht="25.5">
      <c r="A142" s="75"/>
      <c r="B142" s="503">
        <v>85413</v>
      </c>
      <c r="C142" s="393"/>
      <c r="D142" s="503" t="s">
        <v>430</v>
      </c>
      <c r="E142" s="539">
        <f>E143</f>
        <v>0</v>
      </c>
      <c r="F142" s="539">
        <f>F143</f>
        <v>0</v>
      </c>
      <c r="G142" s="522">
        <f>G143</f>
        <v>0</v>
      </c>
    </row>
    <row r="143" spans="1:7" ht="63.75">
      <c r="A143" s="75"/>
      <c r="B143" s="76"/>
      <c r="C143" s="393">
        <v>2700</v>
      </c>
      <c r="D143" s="76" t="s">
        <v>312</v>
      </c>
      <c r="E143" s="77">
        <f>F143+G143</f>
        <v>0</v>
      </c>
      <c r="F143" s="506"/>
      <c r="G143" s="506"/>
    </row>
    <row r="144" spans="1:7" s="276" customFormat="1" ht="15.75">
      <c r="A144" s="502"/>
      <c r="B144" s="503">
        <v>85415</v>
      </c>
      <c r="C144" s="502"/>
      <c r="D144" s="503" t="s">
        <v>157</v>
      </c>
      <c r="E144" s="522">
        <f>SUM(E145:E146)</f>
        <v>0</v>
      </c>
      <c r="F144" s="522">
        <f>SUM(F145:F146)</f>
        <v>0</v>
      </c>
      <c r="G144" s="522">
        <f>SUM(G145:G146)</f>
        <v>0</v>
      </c>
    </row>
    <row r="145" spans="1:7" s="276" customFormat="1" ht="39">
      <c r="A145" s="502"/>
      <c r="B145" s="503"/>
      <c r="C145" s="527">
        <v>2130</v>
      </c>
      <c r="D145" s="76" t="s">
        <v>567</v>
      </c>
      <c r="E145" s="77">
        <f>F145+G145</f>
        <v>0</v>
      </c>
      <c r="F145" s="506"/>
      <c r="G145" s="522"/>
    </row>
    <row r="146" spans="1:7" ht="51">
      <c r="A146" s="75"/>
      <c r="B146" s="76"/>
      <c r="C146" s="393">
        <v>2330</v>
      </c>
      <c r="D146" s="76" t="s">
        <v>158</v>
      </c>
      <c r="E146" s="77">
        <f>F146+G146</f>
        <v>0</v>
      </c>
      <c r="F146" s="506"/>
      <c r="G146" s="506"/>
    </row>
    <row r="147" spans="1:7" ht="25.5">
      <c r="A147" s="540">
        <v>921</v>
      </c>
      <c r="B147" s="541"/>
      <c r="C147" s="542"/>
      <c r="D147" s="543" t="s">
        <v>511</v>
      </c>
      <c r="E147" s="544">
        <f>E148</f>
        <v>0</v>
      </c>
      <c r="F147" s="544">
        <f>F148</f>
        <v>0</v>
      </c>
      <c r="G147" s="544">
        <f>G148</f>
        <v>0</v>
      </c>
    </row>
    <row r="148" spans="1:7" ht="15">
      <c r="A148" s="321"/>
      <c r="B148" s="545">
        <v>92116</v>
      </c>
      <c r="C148" s="546"/>
      <c r="D148" s="322" t="s">
        <v>512</v>
      </c>
      <c r="E148" s="547">
        <f>SUM(E149)</f>
        <v>0</v>
      </c>
      <c r="F148" s="547"/>
      <c r="G148" s="514">
        <f>SUM(G149)</f>
        <v>0</v>
      </c>
    </row>
    <row r="149" spans="1:7" ht="51">
      <c r="A149" s="75"/>
      <c r="B149" s="76"/>
      <c r="C149" s="75">
        <v>2440</v>
      </c>
      <c r="D149" s="519" t="s">
        <v>129</v>
      </c>
      <c r="E149" s="77">
        <f aca="true" t="shared" si="3" ref="E149:E154">F149+G149</f>
        <v>0</v>
      </c>
      <c r="F149" s="506"/>
      <c r="G149" s="506"/>
    </row>
    <row r="150" spans="1:7" s="276" customFormat="1" ht="15.75">
      <c r="A150" s="502"/>
      <c r="B150" s="503">
        <v>85415</v>
      </c>
      <c r="C150" s="502"/>
      <c r="D150" s="503" t="s">
        <v>64</v>
      </c>
      <c r="E150" s="108">
        <f t="shared" si="3"/>
        <v>9000</v>
      </c>
      <c r="F150" s="522">
        <f>SUM(F151)</f>
        <v>9000</v>
      </c>
      <c r="G150" s="522">
        <f>SUM(G151)</f>
        <v>0</v>
      </c>
    </row>
    <row r="151" spans="1:7" ht="51">
      <c r="A151" s="75"/>
      <c r="B151" s="76"/>
      <c r="C151" s="75">
        <v>2330</v>
      </c>
      <c r="D151" s="76" t="s">
        <v>158</v>
      </c>
      <c r="E151" s="77">
        <f t="shared" si="3"/>
        <v>9000</v>
      </c>
      <c r="F151" s="506">
        <v>9000</v>
      </c>
      <c r="G151" s="522"/>
    </row>
    <row r="152" spans="1:7" ht="25.5">
      <c r="A152" s="541">
        <v>921</v>
      </c>
      <c r="B152" s="541"/>
      <c r="C152" s="542"/>
      <c r="D152" s="543" t="s">
        <v>511</v>
      </c>
      <c r="E152" s="77">
        <f t="shared" si="3"/>
        <v>20000</v>
      </c>
      <c r="F152" s="77">
        <f>F153</f>
        <v>20000</v>
      </c>
      <c r="G152" s="77">
        <f>G153</f>
        <v>0</v>
      </c>
    </row>
    <row r="153" spans="1:7" ht="15">
      <c r="A153" s="75"/>
      <c r="B153" s="321">
        <v>92195</v>
      </c>
      <c r="C153" s="546"/>
      <c r="D153" s="322" t="s">
        <v>91</v>
      </c>
      <c r="E153" s="77">
        <f t="shared" si="3"/>
        <v>20000</v>
      </c>
      <c r="F153" s="77">
        <f>F154</f>
        <v>20000</v>
      </c>
      <c r="G153" s="77">
        <f>G154</f>
        <v>0</v>
      </c>
    </row>
    <row r="154" spans="1:7" ht="25.5">
      <c r="A154" s="75"/>
      <c r="B154" s="76"/>
      <c r="C154" s="75">
        <v>2008</v>
      </c>
      <c r="D154" s="519" t="s">
        <v>399</v>
      </c>
      <c r="E154" s="77">
        <f t="shared" si="3"/>
        <v>20000</v>
      </c>
      <c r="F154" s="506">
        <v>20000</v>
      </c>
      <c r="G154" s="522"/>
    </row>
    <row r="155" spans="1:7" ht="25.5">
      <c r="A155" s="499"/>
      <c r="B155" s="500"/>
      <c r="C155" s="499"/>
      <c r="D155" s="500" t="s">
        <v>571</v>
      </c>
      <c r="E155" s="522">
        <f>SUM(E10+E15+E27+E34+E41+E56+E61+E74+E91+E94+E117+E136+E18+E147+E53+E152)</f>
        <v>61507045</v>
      </c>
      <c r="F155" s="522">
        <f>SUM(F10+F15+F27+F34+F41+F56+F61+F74+F91+F94+F117+F136+F18+F147+F53+F152)</f>
        <v>53228925</v>
      </c>
      <c r="G155" s="522">
        <f>SUM(G10+G15+G27+G34+G41+G56+G61+G74+G91+G94+G117+G136+G18+G147+G53+G152)</f>
        <v>7838120</v>
      </c>
    </row>
    <row r="160" ht="15">
      <c r="E160" s="272"/>
    </row>
  </sheetData>
  <sheetProtection/>
  <mergeCells count="7">
    <mergeCell ref="E4:G5"/>
    <mergeCell ref="E6:G6"/>
    <mergeCell ref="B1:E1"/>
    <mergeCell ref="A4:A5"/>
    <mergeCell ref="B4:B5"/>
    <mergeCell ref="C4:C5"/>
    <mergeCell ref="D4:D5"/>
  </mergeCells>
  <printOptions horizontalCentered="1"/>
  <pageMargins left="0.5905511811023623" right="0.5905511811023623" top="1.6141732283464567" bottom="0.5905511811023623" header="0.5118110236220472" footer="0.5118110236220472"/>
  <pageSetup horizontalDpi="300" verticalDpi="300" orientation="portrait" paperSize="9" scale="80" r:id="rId1"/>
  <headerFooter alignWithMargins="0">
    <oddHeader>&amp;R&amp;9Załącznik nr 1
do uchwały Rady Powiatu
 nr XXII/145/09
z dnia 23.04.2009 r.</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3">
      <selection activeCell="D10" sqref="D10"/>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31" t="s">
        <v>233</v>
      </c>
      <c r="B1" s="431"/>
      <c r="C1" s="431"/>
      <c r="D1" s="431"/>
      <c r="E1" s="431"/>
      <c r="F1" s="431"/>
      <c r="G1" s="431"/>
      <c r="H1" s="431"/>
      <c r="I1" s="431"/>
      <c r="J1" s="431"/>
    </row>
    <row r="2" spans="1:10" ht="16.5">
      <c r="A2" s="431" t="s">
        <v>691</v>
      </c>
      <c r="B2" s="431"/>
      <c r="C2" s="431"/>
      <c r="D2" s="431"/>
      <c r="E2" s="431"/>
      <c r="F2" s="431"/>
      <c r="G2" s="431"/>
      <c r="H2" s="431"/>
      <c r="I2" s="431"/>
      <c r="J2" s="431"/>
    </row>
    <row r="3" spans="1:10" ht="6" customHeight="1">
      <c r="A3" s="5"/>
      <c r="B3" s="5"/>
      <c r="C3" s="5"/>
      <c r="D3" s="5"/>
      <c r="E3" s="5"/>
      <c r="F3" s="5"/>
      <c r="G3" s="5"/>
      <c r="H3" s="5"/>
      <c r="I3" s="5"/>
      <c r="J3" s="5"/>
    </row>
    <row r="4" spans="1:11" ht="12.75">
      <c r="A4" s="1"/>
      <c r="B4" s="1"/>
      <c r="C4" s="1"/>
      <c r="D4" s="1"/>
      <c r="E4" s="1"/>
      <c r="F4" s="1"/>
      <c r="G4" s="1"/>
      <c r="H4" s="1"/>
      <c r="I4" s="1"/>
      <c r="K4" s="8" t="s">
        <v>216</v>
      </c>
    </row>
    <row r="5" spans="1:11" ht="15" customHeight="1">
      <c r="A5" s="408" t="s">
        <v>234</v>
      </c>
      <c r="B5" s="408" t="s">
        <v>175</v>
      </c>
      <c r="C5" s="406" t="s">
        <v>319</v>
      </c>
      <c r="D5" s="432" t="s">
        <v>245</v>
      </c>
      <c r="E5" s="433"/>
      <c r="F5" s="433"/>
      <c r="G5" s="434"/>
      <c r="H5" s="406" t="s">
        <v>183</v>
      </c>
      <c r="I5" s="406"/>
      <c r="J5" s="406" t="s">
        <v>320</v>
      </c>
      <c r="K5" s="406" t="s">
        <v>699</v>
      </c>
    </row>
    <row r="6" spans="1:11" ht="15" customHeight="1">
      <c r="A6" s="408"/>
      <c r="B6" s="408"/>
      <c r="C6" s="406"/>
      <c r="D6" s="406" t="s">
        <v>182</v>
      </c>
      <c r="E6" s="437" t="s">
        <v>181</v>
      </c>
      <c r="F6" s="438"/>
      <c r="G6" s="439"/>
      <c r="H6" s="406" t="s">
        <v>182</v>
      </c>
      <c r="I6" s="406" t="s">
        <v>237</v>
      </c>
      <c r="J6" s="406"/>
      <c r="K6" s="406"/>
    </row>
    <row r="7" spans="1:11" ht="18" customHeight="1">
      <c r="A7" s="408"/>
      <c r="B7" s="408"/>
      <c r="C7" s="406"/>
      <c r="D7" s="406"/>
      <c r="E7" s="435" t="s">
        <v>321</v>
      </c>
      <c r="F7" s="437" t="s">
        <v>181</v>
      </c>
      <c r="G7" s="439"/>
      <c r="H7" s="406"/>
      <c r="I7" s="406"/>
      <c r="J7" s="406"/>
      <c r="K7" s="406"/>
    </row>
    <row r="8" spans="1:11" ht="42" customHeight="1">
      <c r="A8" s="408"/>
      <c r="B8" s="408"/>
      <c r="C8" s="406"/>
      <c r="D8" s="406"/>
      <c r="E8" s="436"/>
      <c r="F8" s="60" t="s">
        <v>318</v>
      </c>
      <c r="G8" s="60" t="s">
        <v>317</v>
      </c>
      <c r="H8" s="406"/>
      <c r="I8" s="406"/>
      <c r="J8" s="406"/>
      <c r="K8" s="406"/>
    </row>
    <row r="9" spans="1:11" ht="7.5" customHeight="1" thickBot="1">
      <c r="A9" s="207">
        <v>1</v>
      </c>
      <c r="B9" s="207">
        <v>2</v>
      </c>
      <c r="C9" s="207">
        <v>3</v>
      </c>
      <c r="D9" s="207">
        <v>4</v>
      </c>
      <c r="E9" s="207">
        <v>5</v>
      </c>
      <c r="F9" s="207">
        <v>6</v>
      </c>
      <c r="G9" s="207">
        <v>7</v>
      </c>
      <c r="H9" s="207">
        <v>8</v>
      </c>
      <c r="I9" s="207">
        <v>9</v>
      </c>
      <c r="J9" s="207">
        <v>10</v>
      </c>
      <c r="K9" s="207">
        <v>11</v>
      </c>
    </row>
    <row r="10" spans="1:11" s="52" customFormat="1" ht="19.5" customHeight="1" thickBot="1">
      <c r="A10" s="205" t="s">
        <v>185</v>
      </c>
      <c r="B10" s="209" t="s">
        <v>189</v>
      </c>
      <c r="C10" s="206">
        <f>SUM(C12:C14)</f>
        <v>13000</v>
      </c>
      <c r="D10" s="206">
        <f aca="true" t="shared" si="0" ref="D10:J10">SUM(D12:D14)</f>
        <v>2464900</v>
      </c>
      <c r="E10" s="206">
        <f t="shared" si="0"/>
        <v>0</v>
      </c>
      <c r="F10" s="206">
        <f t="shared" si="0"/>
        <v>0</v>
      </c>
      <c r="G10" s="206">
        <f t="shared" si="0"/>
        <v>0</v>
      </c>
      <c r="H10" s="206">
        <f t="shared" si="0"/>
        <v>2464900</v>
      </c>
      <c r="I10" s="206">
        <f t="shared" si="0"/>
        <v>0</v>
      </c>
      <c r="J10" s="206">
        <f t="shared" si="0"/>
        <v>13000</v>
      </c>
      <c r="K10" s="210" t="s">
        <v>222</v>
      </c>
    </row>
    <row r="11" spans="1:11" ht="19.5" customHeight="1">
      <c r="A11" s="208"/>
      <c r="B11" s="258" t="s">
        <v>251</v>
      </c>
      <c r="C11" s="259"/>
      <c r="D11" s="259"/>
      <c r="E11" s="259"/>
      <c r="F11" s="260"/>
      <c r="G11" s="259"/>
      <c r="H11" s="259"/>
      <c r="I11" s="259"/>
      <c r="J11" s="259"/>
      <c r="K11" s="260"/>
    </row>
    <row r="12" spans="1:11" ht="38.25">
      <c r="A12" s="30"/>
      <c r="B12" s="261" t="s">
        <v>600</v>
      </c>
      <c r="C12" s="105">
        <v>0</v>
      </c>
      <c r="D12" s="105">
        <v>744300</v>
      </c>
      <c r="E12" s="105"/>
      <c r="F12" s="262" t="s">
        <v>222</v>
      </c>
      <c r="G12" s="105"/>
      <c r="H12" s="105">
        <v>744300</v>
      </c>
      <c r="I12" s="105">
        <v>0</v>
      </c>
      <c r="J12" s="105">
        <v>0</v>
      </c>
      <c r="K12" s="262" t="s">
        <v>222</v>
      </c>
    </row>
    <row r="13" spans="1:11" s="241" customFormat="1" ht="25.5">
      <c r="A13" s="238"/>
      <c r="B13" s="263" t="s">
        <v>166</v>
      </c>
      <c r="C13" s="239"/>
      <c r="D13" s="239">
        <v>1020000</v>
      </c>
      <c r="E13" s="239"/>
      <c r="F13" s="240"/>
      <c r="G13" s="239"/>
      <c r="H13" s="239">
        <v>1020000</v>
      </c>
      <c r="I13" s="239">
        <v>0</v>
      </c>
      <c r="J13" s="239"/>
      <c r="K13" s="240" t="s">
        <v>222</v>
      </c>
    </row>
    <row r="14" spans="1:11" ht="39" thickBot="1">
      <c r="A14" s="199"/>
      <c r="B14" s="142" t="s">
        <v>165</v>
      </c>
      <c r="C14" s="239">
        <v>13000</v>
      </c>
      <c r="D14" s="239">
        <v>700600</v>
      </c>
      <c r="E14" s="239"/>
      <c r="F14" s="240"/>
      <c r="G14" s="239"/>
      <c r="H14" s="239">
        <v>700600</v>
      </c>
      <c r="I14" s="239">
        <v>0</v>
      </c>
      <c r="J14" s="239">
        <v>13000</v>
      </c>
      <c r="K14" s="132" t="s">
        <v>222</v>
      </c>
    </row>
    <row r="15" spans="1:11" s="52" customFormat="1" ht="26.25" thickBot="1">
      <c r="A15" s="205" t="s">
        <v>190</v>
      </c>
      <c r="B15" s="337" t="s">
        <v>316</v>
      </c>
      <c r="C15" s="339">
        <f>SUM(C17:C20)</f>
        <v>23000</v>
      </c>
      <c r="D15" s="206">
        <f>SUM(D17:D20)</f>
        <v>431000</v>
      </c>
      <c r="E15" s="206">
        <f>SUM(E17:E20)</f>
        <v>0</v>
      </c>
      <c r="F15" s="340" t="s">
        <v>222</v>
      </c>
      <c r="G15" s="340" t="s">
        <v>222</v>
      </c>
      <c r="H15" s="206">
        <f>SUM(H17:H20)</f>
        <v>433000</v>
      </c>
      <c r="I15" s="340" t="s">
        <v>222</v>
      </c>
      <c r="J15" s="341">
        <f>SUM(J17:J20)</f>
        <v>21000</v>
      </c>
      <c r="K15" s="338"/>
    </row>
    <row r="16" spans="1:11" ht="19.5" customHeight="1">
      <c r="A16" s="201"/>
      <c r="B16" s="202" t="s">
        <v>251</v>
      </c>
      <c r="C16" s="203"/>
      <c r="D16" s="203"/>
      <c r="E16" s="204"/>
      <c r="F16" s="204"/>
      <c r="G16" s="204"/>
      <c r="H16" s="203"/>
      <c r="I16" s="204"/>
      <c r="J16" s="203"/>
      <c r="K16" s="203"/>
    </row>
    <row r="17" spans="1:11" ht="25.5">
      <c r="A17" s="19"/>
      <c r="B17" s="141" t="s">
        <v>602</v>
      </c>
      <c r="C17" s="129"/>
      <c r="D17" s="129">
        <v>50000</v>
      </c>
      <c r="E17" s="130"/>
      <c r="F17" s="130" t="s">
        <v>222</v>
      </c>
      <c r="G17" s="130" t="s">
        <v>222</v>
      </c>
      <c r="H17" s="129">
        <v>50000</v>
      </c>
      <c r="I17" s="130" t="s">
        <v>222</v>
      </c>
      <c r="J17" s="129"/>
      <c r="K17" s="129"/>
    </row>
    <row r="18" spans="1:11" ht="25.5">
      <c r="A18" s="19"/>
      <c r="B18" s="141" t="s">
        <v>113</v>
      </c>
      <c r="C18" s="129">
        <v>5000</v>
      </c>
      <c r="D18" s="129">
        <v>298000</v>
      </c>
      <c r="E18" s="130"/>
      <c r="F18" s="130" t="s">
        <v>222</v>
      </c>
      <c r="G18" s="130" t="s">
        <v>222</v>
      </c>
      <c r="H18" s="129">
        <v>300000</v>
      </c>
      <c r="I18" s="130" t="s">
        <v>222</v>
      </c>
      <c r="J18" s="200">
        <v>3000</v>
      </c>
      <c r="K18" s="129"/>
    </row>
    <row r="19" spans="1:11" ht="38.25">
      <c r="A19" s="20"/>
      <c r="B19" s="142" t="s">
        <v>167</v>
      </c>
      <c r="C19" s="131">
        <v>18000</v>
      </c>
      <c r="D19" s="131">
        <v>53000</v>
      </c>
      <c r="E19" s="132"/>
      <c r="F19" s="132" t="s">
        <v>222</v>
      </c>
      <c r="G19" s="132" t="s">
        <v>222</v>
      </c>
      <c r="H19" s="131">
        <v>53000</v>
      </c>
      <c r="I19" s="132" t="s">
        <v>222</v>
      </c>
      <c r="J19" s="200">
        <f>C19+D19-H19</f>
        <v>18000</v>
      </c>
      <c r="K19" s="131"/>
    </row>
    <row r="20" spans="1:11" ht="25.5">
      <c r="A20" s="20"/>
      <c r="B20" s="142" t="s">
        <v>663</v>
      </c>
      <c r="C20" s="131"/>
      <c r="D20" s="131">
        <v>30000</v>
      </c>
      <c r="E20" s="132"/>
      <c r="F20" s="132" t="s">
        <v>222</v>
      </c>
      <c r="G20" s="132" t="s">
        <v>222</v>
      </c>
      <c r="H20" s="131">
        <v>30000</v>
      </c>
      <c r="I20" s="132" t="s">
        <v>222</v>
      </c>
      <c r="J20" s="200">
        <f>C20+D20-H20</f>
        <v>0</v>
      </c>
      <c r="K20" s="131"/>
    </row>
    <row r="21" spans="1:11" s="52" customFormat="1" ht="19.5" customHeight="1">
      <c r="A21" s="430" t="s">
        <v>299</v>
      </c>
      <c r="B21" s="430"/>
      <c r="C21" s="197">
        <f>C10+C15</f>
        <v>36000</v>
      </c>
      <c r="D21" s="197">
        <f>D10+D15</f>
        <v>2895900</v>
      </c>
      <c r="E21" s="197">
        <f>E10+E15</f>
        <v>0</v>
      </c>
      <c r="F21" s="197"/>
      <c r="G21" s="197"/>
      <c r="H21" s="197">
        <f>H10+H15</f>
        <v>2897900</v>
      </c>
      <c r="I21" s="197"/>
      <c r="J21" s="197">
        <f>J10+J15</f>
        <v>34000</v>
      </c>
      <c r="K21" s="197"/>
    </row>
    <row r="22" ht="4.5" customHeight="1"/>
    <row r="23" ht="12.75" customHeight="1">
      <c r="A23" s="61"/>
    </row>
    <row r="24" ht="12.75">
      <c r="A24" s="61"/>
    </row>
    <row r="25" ht="12.75">
      <c r="A25" s="61"/>
    </row>
    <row r="26" ht="12.75">
      <c r="A26" s="61"/>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9"/>
  <sheetViews>
    <sheetView zoomScalePageLayoutView="0" workbookViewId="0" topLeftCell="A1">
      <selection activeCell="D23" sqref="D23"/>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00" t="s">
        <v>700</v>
      </c>
      <c r="B1" s="400"/>
      <c r="C1" s="400"/>
      <c r="D1" s="400"/>
      <c r="E1" s="400"/>
      <c r="F1" s="400"/>
      <c r="G1" s="400"/>
      <c r="H1" s="400"/>
      <c r="I1" s="400"/>
      <c r="J1" s="400"/>
      <c r="K1" s="400"/>
    </row>
    <row r="3" ht="12.75">
      <c r="K3" s="49" t="s">
        <v>216</v>
      </c>
    </row>
    <row r="4" spans="1:80" ht="20.25" customHeight="1">
      <c r="A4" s="408" t="s">
        <v>177</v>
      </c>
      <c r="B4" s="422" t="s">
        <v>178</v>
      </c>
      <c r="C4" s="422" t="s">
        <v>179</v>
      </c>
      <c r="D4" s="406" t="s">
        <v>289</v>
      </c>
      <c r="E4" s="406" t="s">
        <v>594</v>
      </c>
      <c r="F4" s="406" t="s">
        <v>251</v>
      </c>
      <c r="G4" s="406"/>
      <c r="H4" s="406"/>
      <c r="I4" s="406"/>
      <c r="J4" s="406"/>
      <c r="K4" s="406"/>
      <c r="BY4" s="1"/>
      <c r="BZ4" s="1"/>
      <c r="CA4" s="1"/>
      <c r="CB4" s="1"/>
    </row>
    <row r="5" spans="1:80" ht="18" customHeight="1">
      <c r="A5" s="408"/>
      <c r="B5" s="423"/>
      <c r="C5" s="423"/>
      <c r="D5" s="408"/>
      <c r="E5" s="406"/>
      <c r="F5" s="406" t="s">
        <v>287</v>
      </c>
      <c r="G5" s="406" t="s">
        <v>181</v>
      </c>
      <c r="H5" s="406"/>
      <c r="I5" s="406"/>
      <c r="J5" s="14"/>
      <c r="K5" s="406" t="s">
        <v>288</v>
      </c>
      <c r="BY5" s="1"/>
      <c r="BZ5" s="1"/>
      <c r="CA5" s="1"/>
      <c r="CB5" s="1"/>
    </row>
    <row r="6" spans="1:80" ht="69" customHeight="1">
      <c r="A6" s="408"/>
      <c r="B6" s="424"/>
      <c r="C6" s="424"/>
      <c r="D6" s="408"/>
      <c r="E6" s="406"/>
      <c r="F6" s="406"/>
      <c r="G6" s="14" t="s">
        <v>285</v>
      </c>
      <c r="H6" s="14" t="s">
        <v>286</v>
      </c>
      <c r="I6" s="104" t="s">
        <v>593</v>
      </c>
      <c r="J6" s="104" t="s">
        <v>612</v>
      </c>
      <c r="K6" s="406"/>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c r="A9" s="74">
        <v>600</v>
      </c>
      <c r="B9" s="107">
        <v>60014</v>
      </c>
      <c r="C9" s="107">
        <v>6208</v>
      </c>
      <c r="D9" s="74">
        <f>1!E21</f>
        <v>3113000</v>
      </c>
      <c r="E9" s="74">
        <f aca="true" t="shared" si="0" ref="E9:E15">F9+K9</f>
        <v>3113000</v>
      </c>
      <c r="F9" s="74"/>
      <c r="G9" s="74"/>
      <c r="H9" s="74"/>
      <c r="I9" s="74"/>
      <c r="J9" s="74"/>
      <c r="K9" s="74">
        <f>D9</f>
        <v>3113000</v>
      </c>
      <c r="BY9" s="1"/>
      <c r="BZ9" s="1"/>
      <c r="CA9" s="1"/>
      <c r="CB9" s="1"/>
    </row>
    <row r="10" spans="1:80" ht="19.5" customHeight="1">
      <c r="A10" s="74"/>
      <c r="B10" s="107">
        <v>60014</v>
      </c>
      <c r="C10" s="244">
        <v>6209</v>
      </c>
      <c r="D10" s="74">
        <f>1!E22</f>
        <v>0</v>
      </c>
      <c r="E10" s="74">
        <f t="shared" si="0"/>
        <v>0</v>
      </c>
      <c r="F10" s="74"/>
      <c r="G10" s="74"/>
      <c r="H10" s="74"/>
      <c r="I10" s="74"/>
      <c r="J10" s="74"/>
      <c r="K10" s="74">
        <f>D10</f>
        <v>0</v>
      </c>
      <c r="BY10" s="1"/>
      <c r="BZ10" s="1"/>
      <c r="CA10" s="1"/>
      <c r="CB10" s="1"/>
    </row>
    <row r="11" spans="1:80" ht="19.5" customHeight="1">
      <c r="A11" s="74">
        <v>801</v>
      </c>
      <c r="B11" s="107">
        <v>80195</v>
      </c>
      <c r="C11" s="244">
        <v>2008</v>
      </c>
      <c r="D11" s="74">
        <f>1!E86</f>
        <v>0</v>
      </c>
      <c r="E11" s="74">
        <f t="shared" si="0"/>
        <v>0</v>
      </c>
      <c r="F11" s="74">
        <f>D11</f>
        <v>0</v>
      </c>
      <c r="G11" s="74"/>
      <c r="H11" s="74">
        <f>2!I335+2!I337</f>
        <v>0</v>
      </c>
      <c r="I11" s="74"/>
      <c r="J11" s="74"/>
      <c r="K11" s="74"/>
      <c r="BY11" s="1"/>
      <c r="BZ11" s="1"/>
      <c r="CA11" s="1"/>
      <c r="CB11" s="1"/>
    </row>
    <row r="12" spans="1:80" ht="19.5" customHeight="1">
      <c r="A12" s="74"/>
      <c r="B12" s="107">
        <v>80195</v>
      </c>
      <c r="C12" s="244">
        <v>2009</v>
      </c>
      <c r="D12" s="74">
        <f>1!E87</f>
        <v>0</v>
      </c>
      <c r="E12" s="74">
        <f t="shared" si="0"/>
        <v>0</v>
      </c>
      <c r="F12" s="74">
        <f>D12</f>
        <v>0</v>
      </c>
      <c r="G12" s="74"/>
      <c r="H12" s="74">
        <f>2!I336+2!I338</f>
        <v>0</v>
      </c>
      <c r="I12" s="74"/>
      <c r="J12" s="74"/>
      <c r="K12" s="74"/>
      <c r="BY12" s="1"/>
      <c r="BZ12" s="1"/>
      <c r="CA12" s="1"/>
      <c r="CB12" s="1"/>
    </row>
    <row r="13" spans="1:80" ht="19.5" customHeight="1">
      <c r="A13" s="74"/>
      <c r="B13" s="107">
        <v>85395</v>
      </c>
      <c r="C13" s="107">
        <v>6208</v>
      </c>
      <c r="D13" s="74">
        <f>'[2]Arkusz1'!$G$126</f>
        <v>6120</v>
      </c>
      <c r="E13" s="74">
        <f t="shared" si="0"/>
        <v>6120</v>
      </c>
      <c r="F13" s="74"/>
      <c r="G13" s="74"/>
      <c r="H13" s="74"/>
      <c r="I13" s="74"/>
      <c r="J13" s="343"/>
      <c r="K13" s="74">
        <v>6120</v>
      </c>
      <c r="BY13" s="1"/>
      <c r="BZ13" s="1"/>
      <c r="CA13" s="1"/>
      <c r="CB13" s="1"/>
    </row>
    <row r="14" spans="1:80" ht="19.5" customHeight="1">
      <c r="A14" s="74"/>
      <c r="B14" s="107">
        <v>85395</v>
      </c>
      <c r="C14" s="107">
        <v>2008</v>
      </c>
      <c r="D14" s="74">
        <f>1!E129</f>
        <v>2618313</v>
      </c>
      <c r="E14" s="74">
        <f t="shared" si="0"/>
        <v>2618313</v>
      </c>
      <c r="F14" s="74">
        <f>D14</f>
        <v>2618313</v>
      </c>
      <c r="G14" s="74"/>
      <c r="H14" s="74">
        <f>2!I552+2!I554</f>
        <v>114525</v>
      </c>
      <c r="I14" s="74"/>
      <c r="J14" s="343">
        <f>2!J548+2!J550</f>
        <v>734472</v>
      </c>
      <c r="K14" s="74"/>
      <c r="BY14" s="1"/>
      <c r="BZ14" s="1"/>
      <c r="CA14" s="1"/>
      <c r="CB14" s="1"/>
    </row>
    <row r="15" spans="1:80" ht="19.5" customHeight="1">
      <c r="A15" s="74">
        <v>853</v>
      </c>
      <c r="B15" s="107">
        <v>85395</v>
      </c>
      <c r="C15" s="107">
        <v>2009</v>
      </c>
      <c r="D15" s="74">
        <f>1!E130</f>
        <v>158742</v>
      </c>
      <c r="E15" s="74">
        <f t="shared" si="0"/>
        <v>158742</v>
      </c>
      <c r="F15" s="74">
        <f>D15</f>
        <v>158742</v>
      </c>
      <c r="G15" s="74"/>
      <c r="H15" s="74">
        <f>2!I553+2!I555</f>
        <v>20200</v>
      </c>
      <c r="I15" s="74"/>
      <c r="J15" s="342">
        <f>2!J549+2!J551</f>
        <v>129613</v>
      </c>
      <c r="K15" s="74"/>
      <c r="BY15" s="1"/>
      <c r="BZ15" s="1"/>
      <c r="CA15" s="1"/>
      <c r="CB15" s="1"/>
    </row>
    <row r="16" spans="1:80" ht="19.5" customHeight="1" hidden="1">
      <c r="A16" s="74"/>
      <c r="B16" s="107">
        <v>85395</v>
      </c>
      <c r="C16" s="107">
        <v>2008</v>
      </c>
      <c r="D16" s="74"/>
      <c r="E16" s="74">
        <f>D16</f>
        <v>0</v>
      </c>
      <c r="F16" s="74">
        <f>E16</f>
        <v>0</v>
      </c>
      <c r="G16" s="74"/>
      <c r="H16" s="74">
        <f>(2!I552+2!I553+2!I554+2!I555)*85%</f>
        <v>114516.25</v>
      </c>
      <c r="I16" s="74"/>
      <c r="J16" s="74">
        <f>2!J548</f>
        <v>1493</v>
      </c>
      <c r="K16" s="74"/>
      <c r="BY16" s="1"/>
      <c r="BZ16" s="1"/>
      <c r="CA16" s="1"/>
      <c r="CB16" s="1"/>
    </row>
    <row r="17" spans="1:80" ht="19.5" customHeight="1" hidden="1">
      <c r="A17" s="74"/>
      <c r="B17" s="107">
        <v>85395</v>
      </c>
      <c r="C17" s="107">
        <v>2009</v>
      </c>
      <c r="D17" s="74"/>
      <c r="E17" s="74">
        <f>D17</f>
        <v>0</v>
      </c>
      <c r="F17" s="74">
        <f>E17</f>
        <v>0</v>
      </c>
      <c r="G17" s="74"/>
      <c r="H17" s="74"/>
      <c r="I17" s="74"/>
      <c r="J17" s="74"/>
      <c r="K17" s="74"/>
      <c r="BY17" s="1"/>
      <c r="BZ17" s="1"/>
      <c r="CA17" s="1"/>
      <c r="CB17" s="1"/>
    </row>
    <row r="18" spans="1:80" ht="19.5" customHeight="1" hidden="1">
      <c r="A18" s="74"/>
      <c r="B18" s="107">
        <v>85395</v>
      </c>
      <c r="C18" s="107">
        <v>6208</v>
      </c>
      <c r="D18" s="74">
        <f>1!E131</f>
        <v>0</v>
      </c>
      <c r="E18" s="74">
        <f>K18</f>
        <v>0</v>
      </c>
      <c r="F18" s="74"/>
      <c r="G18" s="74"/>
      <c r="H18" s="74"/>
      <c r="I18" s="74"/>
      <c r="J18" s="74"/>
      <c r="K18" s="74"/>
      <c r="BY18" s="1"/>
      <c r="BZ18" s="1"/>
      <c r="CA18" s="1"/>
      <c r="CB18" s="1"/>
    </row>
    <row r="19" spans="1:80" ht="19.5" customHeight="1" hidden="1">
      <c r="A19" s="74"/>
      <c r="B19" s="107">
        <v>85395</v>
      </c>
      <c r="C19" s="107">
        <v>6209</v>
      </c>
      <c r="D19" s="74">
        <f>1!E132</f>
        <v>0</v>
      </c>
      <c r="E19" s="74">
        <f>K19</f>
        <v>0</v>
      </c>
      <c r="F19" s="74"/>
      <c r="G19" s="74"/>
      <c r="H19" s="74"/>
      <c r="I19" s="74"/>
      <c r="J19" s="74"/>
      <c r="K19" s="74"/>
      <c r="BY19" s="1"/>
      <c r="BZ19" s="1"/>
      <c r="CA19" s="1"/>
      <c r="CB19" s="1"/>
    </row>
    <row r="20" spans="1:80" ht="19.5" customHeight="1" hidden="1">
      <c r="A20" s="74">
        <v>854</v>
      </c>
      <c r="B20" s="107">
        <v>85415</v>
      </c>
      <c r="C20" s="107">
        <v>2330</v>
      </c>
      <c r="D20" s="74">
        <f>1!F146</f>
        <v>0</v>
      </c>
      <c r="E20" s="74">
        <f>F20+K20</f>
        <v>0</v>
      </c>
      <c r="F20" s="74">
        <f>D20</f>
        <v>0</v>
      </c>
      <c r="G20" s="74"/>
      <c r="H20" s="74"/>
      <c r="I20" s="74"/>
      <c r="J20" s="74"/>
      <c r="K20" s="74"/>
      <c r="BY20" s="1"/>
      <c r="BZ20" s="1"/>
      <c r="CA20" s="1"/>
      <c r="CB20" s="1"/>
    </row>
    <row r="21" spans="1:80" ht="19.5" customHeight="1" hidden="1">
      <c r="A21" s="74"/>
      <c r="B21" s="107"/>
      <c r="C21" s="107"/>
      <c r="D21" s="74"/>
      <c r="E21" s="74"/>
      <c r="F21" s="74"/>
      <c r="G21" s="74"/>
      <c r="H21" s="74"/>
      <c r="I21" s="74"/>
      <c r="J21" s="74"/>
      <c r="K21" s="74"/>
      <c r="BY21" s="1"/>
      <c r="BZ21" s="1"/>
      <c r="CA21" s="1"/>
      <c r="CB21" s="1"/>
    </row>
    <row r="22" spans="1:80" ht="19.5" customHeight="1">
      <c r="A22" s="74">
        <v>921</v>
      </c>
      <c r="B22" s="107">
        <v>92195</v>
      </c>
      <c r="C22" s="107">
        <v>2008</v>
      </c>
      <c r="D22" s="74">
        <f>1!E152</f>
        <v>20000</v>
      </c>
      <c r="E22" s="74">
        <f>F22+K22</f>
        <v>20000</v>
      </c>
      <c r="F22" s="74">
        <f>D22</f>
        <v>20000</v>
      </c>
      <c r="G22" s="74"/>
      <c r="H22" s="74"/>
      <c r="I22" s="74"/>
      <c r="J22" s="342"/>
      <c r="K22" s="74"/>
      <c r="BY22" s="1"/>
      <c r="BZ22" s="1"/>
      <c r="CA22" s="1"/>
      <c r="CB22" s="1"/>
    </row>
    <row r="23" spans="1:76" s="110" customFormat="1" ht="24.75" customHeight="1">
      <c r="A23" s="427" t="s">
        <v>299</v>
      </c>
      <c r="B23" s="428"/>
      <c r="C23" s="429"/>
      <c r="D23" s="109">
        <f>SUM(D9:D22)</f>
        <v>5916175</v>
      </c>
      <c r="E23" s="109">
        <f aca="true" t="shared" si="1" ref="E23:K23">SUM(E9:E22)</f>
        <v>5916175</v>
      </c>
      <c r="F23" s="109">
        <f t="shared" si="1"/>
        <v>2797055</v>
      </c>
      <c r="G23" s="109">
        <f t="shared" si="1"/>
        <v>0</v>
      </c>
      <c r="H23" s="109">
        <f>SUM(H8:H22)</f>
        <v>249241.25</v>
      </c>
      <c r="I23" s="109">
        <f t="shared" si="1"/>
        <v>0</v>
      </c>
      <c r="J23" s="109">
        <f t="shared" si="1"/>
        <v>865578</v>
      </c>
      <c r="K23" s="109">
        <f t="shared" si="1"/>
        <v>3119120</v>
      </c>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row>
    <row r="28" ht="12.75">
      <c r="I28" s="73"/>
    </row>
    <row r="29" ht="12.75">
      <c r="I29" s="73"/>
    </row>
  </sheetData>
  <sheetProtection/>
  <mergeCells count="11">
    <mergeCell ref="A1:K1"/>
    <mergeCell ref="F4:K4"/>
    <mergeCell ref="F5:F6"/>
    <mergeCell ref="G5:I5"/>
    <mergeCell ref="K5:K6"/>
    <mergeCell ref="A23:C23"/>
    <mergeCell ref="E4:E6"/>
    <mergeCell ref="A4:A6"/>
    <mergeCell ref="B4:B6"/>
    <mergeCell ref="C4:C6"/>
    <mergeCell ref="D4:D6"/>
  </mergeCells>
  <printOptions horizontalCentered="1"/>
  <pageMargins left="0.3937007874015748" right="0.3937007874015748" top="1.6141732283464567" bottom="0.984251968503937" header="0.5118110236220472" footer="0.5118110236220472"/>
  <pageSetup horizontalDpi="600" verticalDpi="600" orientation="landscape" paperSize="9" scale="95" r:id="rId1"/>
  <headerFooter alignWithMargins="0">
    <oddHeader>&amp;R&amp;9Załącznik nr 10
do uchwały Rady Powiatu 
nr XXII/145/09
z dnia 23.04.2009 r.</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A2" sqref="A2"/>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440" t="s">
        <v>692</v>
      </c>
      <c r="B1" s="440"/>
      <c r="C1" s="440"/>
      <c r="D1" s="440"/>
      <c r="E1" s="440"/>
      <c r="F1" s="440"/>
    </row>
    <row r="2" spans="5:6" ht="19.5" customHeight="1">
      <c r="E2" s="5"/>
      <c r="F2" s="101"/>
    </row>
    <row r="3" ht="19.5" customHeight="1">
      <c r="F3" s="102" t="s">
        <v>216</v>
      </c>
    </row>
    <row r="4" spans="1:6" ht="19.5" customHeight="1">
      <c r="A4" s="13" t="s">
        <v>234</v>
      </c>
      <c r="B4" s="13" t="s">
        <v>177</v>
      </c>
      <c r="C4" s="13" t="s">
        <v>178</v>
      </c>
      <c r="D4" s="13" t="s">
        <v>305</v>
      </c>
      <c r="E4" s="13" t="s">
        <v>219</v>
      </c>
      <c r="F4" s="103" t="s">
        <v>218</v>
      </c>
    </row>
    <row r="5" spans="1:6" ht="7.5" customHeight="1">
      <c r="A5" s="16">
        <v>1</v>
      </c>
      <c r="B5" s="16">
        <v>2</v>
      </c>
      <c r="C5" s="16">
        <v>3</v>
      </c>
      <c r="D5" s="16">
        <v>4</v>
      </c>
      <c r="E5" s="16">
        <v>5</v>
      </c>
      <c r="F5" s="85">
        <v>6</v>
      </c>
    </row>
    <row r="6" spans="1:6" ht="89.25">
      <c r="A6" s="24">
        <v>1</v>
      </c>
      <c r="B6" s="24">
        <v>801</v>
      </c>
      <c r="C6" s="24">
        <v>80120</v>
      </c>
      <c r="D6" s="24">
        <v>2540</v>
      </c>
      <c r="E6" s="64" t="s">
        <v>114</v>
      </c>
      <c r="F6" s="91">
        <f>2!J220</f>
        <v>64100</v>
      </c>
    </row>
    <row r="7" spans="1:256" s="110" customFormat="1" ht="30" customHeight="1">
      <c r="A7" s="441" t="s">
        <v>299</v>
      </c>
      <c r="B7" s="442"/>
      <c r="C7" s="442"/>
      <c r="D7" s="442"/>
      <c r="E7" s="443"/>
      <c r="F7" s="108">
        <f>SUM(F6)</f>
        <v>64100</v>
      </c>
      <c r="IV7" s="111">
        <f>SUM(F7:IU7)</f>
        <v>64100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4"/>
  <sheetViews>
    <sheetView zoomScalePageLayoutView="0" workbookViewId="0" topLeftCell="A1">
      <selection activeCell="F23" sqref="F23:F24"/>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99" customWidth="1"/>
  </cols>
  <sheetData>
    <row r="1" spans="1:6" ht="48.75" customHeight="1">
      <c r="A1" s="400" t="s">
        <v>693</v>
      </c>
      <c r="B1" s="400"/>
      <c r="C1" s="400"/>
      <c r="D1" s="400"/>
      <c r="E1" s="400"/>
      <c r="F1" s="400"/>
    </row>
    <row r="2" spans="5:6" ht="19.5" customHeight="1">
      <c r="E2" s="5"/>
      <c r="F2" s="96"/>
    </row>
    <row r="3" spans="5:6" ht="19.5" customHeight="1">
      <c r="E3" s="1"/>
      <c r="F3" s="97" t="s">
        <v>216</v>
      </c>
    </row>
    <row r="4" spans="1:6" ht="19.5" customHeight="1">
      <c r="A4" s="13" t="s">
        <v>234</v>
      </c>
      <c r="B4" s="13" t="s">
        <v>177</v>
      </c>
      <c r="C4" s="13" t="s">
        <v>178</v>
      </c>
      <c r="D4" s="13" t="s">
        <v>303</v>
      </c>
      <c r="E4" s="13" t="s">
        <v>217</v>
      </c>
      <c r="F4" s="98" t="s">
        <v>218</v>
      </c>
    </row>
    <row r="5" spans="1:6" s="57" customFormat="1" ht="7.5" customHeight="1">
      <c r="A5" s="16">
        <v>1</v>
      </c>
      <c r="B5" s="16">
        <v>2</v>
      </c>
      <c r="C5" s="16">
        <v>3</v>
      </c>
      <c r="D5" s="16">
        <v>4</v>
      </c>
      <c r="E5" s="16">
        <v>5</v>
      </c>
      <c r="F5" s="85">
        <v>6</v>
      </c>
    </row>
    <row r="6" spans="1:6" ht="153">
      <c r="A6" s="75">
        <v>1</v>
      </c>
      <c r="B6" s="75" t="s">
        <v>363</v>
      </c>
      <c r="C6" s="75" t="s">
        <v>368</v>
      </c>
      <c r="D6" s="75">
        <v>2830</v>
      </c>
      <c r="E6" s="64" t="s">
        <v>139</v>
      </c>
      <c r="F6" s="100">
        <f>2!E15</f>
        <v>46000</v>
      </c>
    </row>
    <row r="7" spans="1:6" ht="102">
      <c r="A7" s="75">
        <v>2</v>
      </c>
      <c r="B7" s="75">
        <v>754</v>
      </c>
      <c r="C7" s="75">
        <v>75495</v>
      </c>
      <c r="D7" s="75">
        <v>2320</v>
      </c>
      <c r="E7" s="64" t="s">
        <v>174</v>
      </c>
      <c r="F7" s="100">
        <f>2!E178</f>
        <v>60000</v>
      </c>
    </row>
    <row r="8" spans="1:6" ht="140.25">
      <c r="A8" s="75">
        <v>5</v>
      </c>
      <c r="B8" s="75">
        <v>801</v>
      </c>
      <c r="C8" s="75">
        <v>80130</v>
      </c>
      <c r="D8" s="75">
        <v>2330</v>
      </c>
      <c r="E8" s="64" t="s">
        <v>118</v>
      </c>
      <c r="F8" s="100">
        <f>2!J232</f>
        <v>26000</v>
      </c>
    </row>
    <row r="9" spans="1:6" ht="86.25" customHeight="1">
      <c r="A9" s="393" t="s">
        <v>67</v>
      </c>
      <c r="B9" s="75">
        <v>801</v>
      </c>
      <c r="C9" s="75">
        <v>80130</v>
      </c>
      <c r="D9" s="75">
        <v>2320</v>
      </c>
      <c r="E9" s="392" t="s">
        <v>66</v>
      </c>
      <c r="F9" s="100">
        <f>2!J233</f>
        <v>4000</v>
      </c>
    </row>
    <row r="10" spans="1:6" ht="63.75">
      <c r="A10" s="393">
        <v>6</v>
      </c>
      <c r="B10" s="75">
        <v>801</v>
      </c>
      <c r="C10" s="75">
        <v>80146</v>
      </c>
      <c r="D10" s="75">
        <v>2310</v>
      </c>
      <c r="E10" s="64" t="s">
        <v>592</v>
      </c>
      <c r="F10" s="100">
        <f>2!J295</f>
        <v>10000</v>
      </c>
    </row>
    <row r="11" spans="1:6" ht="140.25">
      <c r="A11" s="75">
        <v>7</v>
      </c>
      <c r="B11" s="75">
        <v>852</v>
      </c>
      <c r="C11" s="75">
        <v>85201</v>
      </c>
      <c r="D11" s="75">
        <v>2320</v>
      </c>
      <c r="E11" s="64" t="s">
        <v>115</v>
      </c>
      <c r="F11" s="100">
        <f>2!J366</f>
        <v>318000</v>
      </c>
    </row>
    <row r="12" spans="1:6" ht="114.75">
      <c r="A12" s="75">
        <v>8</v>
      </c>
      <c r="B12" s="75">
        <v>852</v>
      </c>
      <c r="C12" s="75">
        <v>85204</v>
      </c>
      <c r="D12" s="75">
        <v>2320</v>
      </c>
      <c r="E12" s="64" t="s">
        <v>119</v>
      </c>
      <c r="F12" s="100">
        <f>2!J446</f>
        <v>127300</v>
      </c>
    </row>
    <row r="13" spans="1:6" ht="38.25">
      <c r="A13" s="75">
        <v>9</v>
      </c>
      <c r="B13" s="75">
        <v>853</v>
      </c>
      <c r="C13" s="75">
        <v>85311</v>
      </c>
      <c r="D13" s="75">
        <v>2320</v>
      </c>
      <c r="E13" s="64" t="s">
        <v>590</v>
      </c>
      <c r="F13" s="100">
        <f>2!J498</f>
        <v>16500</v>
      </c>
    </row>
    <row r="14" spans="1:6" ht="120">
      <c r="A14" s="75"/>
      <c r="B14" s="75"/>
      <c r="C14" s="75">
        <v>85395</v>
      </c>
      <c r="D14" s="268" t="s">
        <v>662</v>
      </c>
      <c r="E14" s="254" t="s">
        <v>402</v>
      </c>
      <c r="F14" s="100">
        <f>2!J550+2!J548</f>
        <v>734472</v>
      </c>
    </row>
    <row r="15" spans="1:6" ht="137.25" customHeight="1">
      <c r="A15" s="75"/>
      <c r="B15" s="75"/>
      <c r="C15" s="75"/>
      <c r="D15" s="269" t="s">
        <v>661</v>
      </c>
      <c r="E15" s="254" t="s">
        <v>402</v>
      </c>
      <c r="F15" s="100">
        <f>2!J551+2!J549</f>
        <v>129613</v>
      </c>
    </row>
    <row r="16" spans="1:6" ht="204">
      <c r="A16" s="75">
        <v>10</v>
      </c>
      <c r="B16" s="75">
        <v>854</v>
      </c>
      <c r="C16" s="75">
        <v>85406</v>
      </c>
      <c r="D16" s="75">
        <v>2310</v>
      </c>
      <c r="E16" s="64" t="s">
        <v>116</v>
      </c>
      <c r="F16" s="100">
        <f>2!J589</f>
        <v>294000</v>
      </c>
    </row>
    <row r="17" spans="1:6" ht="33.75" hidden="1">
      <c r="A17" s="75">
        <v>11</v>
      </c>
      <c r="B17" s="75">
        <v>921</v>
      </c>
      <c r="C17" s="75">
        <v>92108</v>
      </c>
      <c r="D17" s="75">
        <v>2820</v>
      </c>
      <c r="E17" s="65" t="s">
        <v>96</v>
      </c>
      <c r="F17" s="100">
        <f>2!J646</f>
        <v>5000</v>
      </c>
    </row>
    <row r="18" spans="1:6" ht="89.25">
      <c r="A18" s="75">
        <v>12</v>
      </c>
      <c r="B18" s="75"/>
      <c r="C18" s="75">
        <v>92116</v>
      </c>
      <c r="D18" s="75">
        <v>2310</v>
      </c>
      <c r="E18" s="64" t="s">
        <v>117</v>
      </c>
      <c r="F18" s="100">
        <f>2!J648</f>
        <v>55850</v>
      </c>
    </row>
    <row r="19" spans="1:6" ht="33.75">
      <c r="A19" s="75"/>
      <c r="B19" s="75"/>
      <c r="C19" s="75">
        <v>92108</v>
      </c>
      <c r="D19" s="75">
        <v>2820</v>
      </c>
      <c r="E19" s="65" t="s">
        <v>96</v>
      </c>
      <c r="F19" s="100">
        <f>2!J646</f>
        <v>5000</v>
      </c>
    </row>
    <row r="20" spans="1:6" ht="33.75">
      <c r="A20" s="75">
        <v>13</v>
      </c>
      <c r="B20" s="75"/>
      <c r="C20" s="75">
        <v>92195</v>
      </c>
      <c r="D20" s="75">
        <v>2820</v>
      </c>
      <c r="E20" s="65" t="s">
        <v>96</v>
      </c>
      <c r="F20" s="100">
        <f>2!J652</f>
        <v>9000</v>
      </c>
    </row>
    <row r="21" spans="1:6" ht="33.75">
      <c r="A21" s="75">
        <v>14</v>
      </c>
      <c r="B21" s="75">
        <v>926</v>
      </c>
      <c r="C21" s="75">
        <v>92605</v>
      </c>
      <c r="D21" s="75">
        <v>2820</v>
      </c>
      <c r="E21" s="65" t="s">
        <v>96</v>
      </c>
      <c r="F21" s="100">
        <f>2!J664</f>
        <v>50000</v>
      </c>
    </row>
    <row r="22" spans="1:6" s="52" customFormat="1" ht="30" customHeight="1">
      <c r="A22" s="421" t="s">
        <v>299</v>
      </c>
      <c r="B22" s="421"/>
      <c r="C22" s="421"/>
      <c r="D22" s="421"/>
      <c r="E22" s="421"/>
      <c r="F22" s="112">
        <f>SUM(F6:F21)</f>
        <v>1890735</v>
      </c>
    </row>
    <row r="23" spans="1:6" ht="12.75">
      <c r="A23" s="444" t="s">
        <v>618</v>
      </c>
      <c r="B23" s="444"/>
      <c r="C23" s="444"/>
      <c r="D23" s="444"/>
      <c r="E23" s="444"/>
      <c r="F23" s="445">
        <f>F14+F15</f>
        <v>864085</v>
      </c>
    </row>
    <row r="24" spans="1:6" ht="12.75">
      <c r="A24" s="444"/>
      <c r="B24" s="444"/>
      <c r="C24" s="444"/>
      <c r="D24" s="444"/>
      <c r="E24" s="444"/>
      <c r="F24" s="446"/>
    </row>
  </sheetData>
  <sheetProtection/>
  <mergeCells count="4">
    <mergeCell ref="A1:F1"/>
    <mergeCell ref="A22:E22"/>
    <mergeCell ref="A23:E24"/>
    <mergeCell ref="F23:F24"/>
  </mergeCells>
  <printOptions horizontalCentered="1"/>
  <pageMargins left="0.3937007874015748" right="0.3937007874015748" top="1.6535433070866143" bottom="0.984251968503937" header="0.5118110236220472" footer="0.5118110236220472"/>
  <pageSetup horizontalDpi="600" verticalDpi="600" orientation="portrait" paperSize="9" scale="95" r:id="rId1"/>
  <headerFooter alignWithMargins="0">
    <oddHeader>&amp;R&amp;9Załącznik nr 12
do uchwały Rady Powiatu 
nr XXII/145/09
z dnia 23.04.2009 r.</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B23" sqref="B23"/>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447" t="s">
        <v>357</v>
      </c>
      <c r="B1" s="447"/>
      <c r="C1" s="447"/>
      <c r="D1" s="5"/>
      <c r="E1" s="5"/>
      <c r="F1" s="5"/>
      <c r="G1" s="5"/>
      <c r="H1" s="5"/>
      <c r="I1" s="5"/>
      <c r="J1" s="5"/>
    </row>
    <row r="2" spans="1:7" ht="19.5" customHeight="1">
      <c r="A2" s="447" t="s">
        <v>220</v>
      </c>
      <c r="B2" s="447"/>
      <c r="C2" s="447"/>
      <c r="D2" s="5"/>
      <c r="E2" s="5"/>
      <c r="F2" s="5"/>
      <c r="G2" s="5"/>
    </row>
    <row r="5" ht="12.75">
      <c r="C5" s="68" t="s">
        <v>216</v>
      </c>
    </row>
    <row r="6" spans="1:10" ht="19.5" customHeight="1">
      <c r="A6" s="13" t="s">
        <v>234</v>
      </c>
      <c r="B6" s="13" t="s">
        <v>175</v>
      </c>
      <c r="C6" s="69" t="s">
        <v>687</v>
      </c>
      <c r="D6" s="6"/>
      <c r="E6" s="6"/>
      <c r="F6" s="6"/>
      <c r="G6" s="6"/>
      <c r="H6" s="6"/>
      <c r="I6" s="7"/>
      <c r="J6" s="7"/>
    </row>
    <row r="7" spans="1:10" ht="19.5" customHeight="1">
      <c r="A7" s="21" t="s">
        <v>185</v>
      </c>
      <c r="B7" s="31" t="s">
        <v>236</v>
      </c>
      <c r="C7" s="70">
        <v>729696</v>
      </c>
      <c r="D7" s="6"/>
      <c r="E7" s="6"/>
      <c r="F7" s="6"/>
      <c r="G7" s="6"/>
      <c r="H7" s="6"/>
      <c r="I7" s="7"/>
      <c r="J7" s="7"/>
    </row>
    <row r="8" spans="1:10" ht="19.5" customHeight="1">
      <c r="A8" s="21" t="s">
        <v>190</v>
      </c>
      <c r="B8" s="31" t="s">
        <v>184</v>
      </c>
      <c r="C8" s="70">
        <f>SUM(C9:C10)</f>
        <v>1750000</v>
      </c>
      <c r="D8" s="6"/>
      <c r="E8" s="6"/>
      <c r="F8" s="6"/>
      <c r="G8" s="6"/>
      <c r="H8" s="6"/>
      <c r="I8" s="7"/>
      <c r="J8" s="7"/>
    </row>
    <row r="9" spans="1:10" ht="19.5" customHeight="1">
      <c r="A9" s="22">
        <v>1</v>
      </c>
      <c r="B9" s="113" t="s">
        <v>520</v>
      </c>
      <c r="C9" s="114"/>
      <c r="D9" s="6"/>
      <c r="E9" s="6"/>
      <c r="F9" s="6"/>
      <c r="G9" s="6"/>
      <c r="H9" s="6"/>
      <c r="I9" s="7"/>
      <c r="J9" s="7"/>
    </row>
    <row r="10" spans="1:10" ht="19.5" customHeight="1">
      <c r="A10" s="22"/>
      <c r="B10" s="113" t="s">
        <v>426</v>
      </c>
      <c r="C10" s="114">
        <v>1750000</v>
      </c>
      <c r="D10" s="6"/>
      <c r="E10" s="6"/>
      <c r="F10" s="6"/>
      <c r="G10" s="6"/>
      <c r="H10" s="6"/>
      <c r="I10" s="7"/>
      <c r="J10" s="7"/>
    </row>
    <row r="11" spans="1:10" ht="19.5" customHeight="1">
      <c r="A11" s="21" t="s">
        <v>191</v>
      </c>
      <c r="B11" s="31" t="s">
        <v>183</v>
      </c>
      <c r="C11" s="70">
        <f>SUM(C12:C16)</f>
        <v>2420000</v>
      </c>
      <c r="D11" s="6"/>
      <c r="E11" s="6"/>
      <c r="F11" s="6"/>
      <c r="G11" s="6"/>
      <c r="H11" s="6"/>
      <c r="I11" s="7"/>
      <c r="J11" s="7"/>
    </row>
    <row r="12" spans="1:10" ht="19.5" customHeight="1">
      <c r="A12" s="22">
        <v>1</v>
      </c>
      <c r="B12" s="145" t="s">
        <v>212</v>
      </c>
      <c r="C12" s="114">
        <f>955000+40000</f>
        <v>995000</v>
      </c>
      <c r="D12" s="6"/>
      <c r="E12" s="6"/>
      <c r="F12" s="6"/>
      <c r="G12" s="6"/>
      <c r="H12" s="6"/>
      <c r="I12" s="7"/>
      <c r="J12" s="7"/>
    </row>
    <row r="13" spans="1:10" ht="38.25">
      <c r="A13" s="22">
        <v>2</v>
      </c>
      <c r="B13" s="145" t="s">
        <v>615</v>
      </c>
      <c r="C13" s="114">
        <f>150000+160000</f>
        <v>310000</v>
      </c>
      <c r="D13" s="6"/>
      <c r="E13" s="6"/>
      <c r="F13" s="6"/>
      <c r="G13" s="6"/>
      <c r="H13" s="6"/>
      <c r="I13" s="7"/>
      <c r="J13" s="7"/>
    </row>
    <row r="14" spans="1:10" ht="25.5">
      <c r="A14" s="22">
        <v>3</v>
      </c>
      <c r="B14" s="145" t="s">
        <v>100</v>
      </c>
      <c r="C14" s="114">
        <v>50000</v>
      </c>
      <c r="D14" s="6"/>
      <c r="E14" s="6"/>
      <c r="F14" s="6"/>
      <c r="G14" s="6"/>
      <c r="H14" s="6"/>
      <c r="I14" s="7"/>
      <c r="J14" s="7"/>
    </row>
    <row r="15" spans="1:10" ht="38.25">
      <c r="A15" s="22">
        <v>4</v>
      </c>
      <c r="B15" s="145" t="s">
        <v>637</v>
      </c>
      <c r="C15" s="114">
        <v>70000</v>
      </c>
      <c r="D15" s="6"/>
      <c r="E15" s="6"/>
      <c r="F15" s="6"/>
      <c r="G15" s="6"/>
      <c r="H15" s="6"/>
      <c r="I15" s="7"/>
      <c r="J15" s="7"/>
    </row>
    <row r="16" spans="1:10" ht="19.5" customHeight="1">
      <c r="A16" s="22">
        <v>5</v>
      </c>
      <c r="B16" s="145" t="s">
        <v>616</v>
      </c>
      <c r="C16" s="114">
        <v>995000</v>
      </c>
      <c r="D16" s="6"/>
      <c r="E16" s="6"/>
      <c r="F16" s="6"/>
      <c r="G16" s="6"/>
      <c r="H16" s="6"/>
      <c r="I16" s="7"/>
      <c r="J16" s="7"/>
    </row>
    <row r="17" spans="1:10" ht="19.5" customHeight="1">
      <c r="A17" s="21" t="s">
        <v>213</v>
      </c>
      <c r="B17" s="31" t="s">
        <v>238</v>
      </c>
      <c r="C17" s="70">
        <f>C7+C8-C11</f>
        <v>59696</v>
      </c>
      <c r="D17" s="6"/>
      <c r="E17" s="6"/>
      <c r="F17" s="6"/>
      <c r="G17" s="6"/>
      <c r="H17" s="6"/>
      <c r="I17" s="7"/>
      <c r="J17" s="7"/>
    </row>
    <row r="18" spans="1:10" ht="15">
      <c r="A18" s="6"/>
      <c r="B18" s="6"/>
      <c r="C18" s="71"/>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7"/>
      <c r="B24" s="7"/>
      <c r="C24" s="71"/>
      <c r="D24" s="7"/>
      <c r="E24" s="7"/>
      <c r="F24" s="7"/>
      <c r="G24" s="7"/>
      <c r="H24" s="7"/>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7" sqref="C7"/>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447" t="s">
        <v>357</v>
      </c>
      <c r="B1" s="447"/>
      <c r="C1" s="447"/>
      <c r="D1" s="5"/>
      <c r="E1" s="5"/>
      <c r="F1" s="5"/>
      <c r="G1" s="5"/>
      <c r="H1" s="5"/>
      <c r="I1" s="5"/>
      <c r="J1" s="5"/>
    </row>
    <row r="2" spans="1:7" ht="19.5" customHeight="1">
      <c r="A2" s="447" t="s">
        <v>276</v>
      </c>
      <c r="B2" s="447"/>
      <c r="C2" s="447"/>
      <c r="D2" s="5"/>
      <c r="E2" s="5"/>
      <c r="F2" s="5"/>
      <c r="G2" s="5"/>
    </row>
    <row r="4" ht="12.75">
      <c r="C4" s="68" t="s">
        <v>216</v>
      </c>
    </row>
    <row r="5" spans="1:10" ht="19.5" customHeight="1">
      <c r="A5" s="13" t="s">
        <v>234</v>
      </c>
      <c r="B5" s="13" t="s">
        <v>175</v>
      </c>
      <c r="C5" s="69" t="s">
        <v>687</v>
      </c>
      <c r="D5" s="6"/>
      <c r="E5" s="6"/>
      <c r="F5" s="6"/>
      <c r="G5" s="6"/>
      <c r="H5" s="6"/>
      <c r="I5" s="7"/>
      <c r="J5" s="7"/>
    </row>
    <row r="6" spans="1:10" ht="19.5" customHeight="1">
      <c r="A6" s="21" t="s">
        <v>185</v>
      </c>
      <c r="B6" s="31" t="s">
        <v>236</v>
      </c>
      <c r="C6" s="70">
        <v>209999</v>
      </c>
      <c r="D6" s="6"/>
      <c r="E6" s="6"/>
      <c r="F6" s="6"/>
      <c r="G6" s="6"/>
      <c r="H6" s="6"/>
      <c r="I6" s="7"/>
      <c r="J6" s="7"/>
    </row>
    <row r="7" spans="1:10" ht="19.5" customHeight="1">
      <c r="A7" s="21" t="s">
        <v>190</v>
      </c>
      <c r="B7" s="31" t="s">
        <v>184</v>
      </c>
      <c r="C7" s="70">
        <f>SUM(C8:C10)</f>
        <v>1099000</v>
      </c>
      <c r="D7" s="6"/>
      <c r="E7" s="6"/>
      <c r="F7" s="6"/>
      <c r="G7" s="6"/>
      <c r="H7" s="6"/>
      <c r="I7" s="7"/>
      <c r="J7" s="7"/>
    </row>
    <row r="8" spans="1:10" ht="19.5" customHeight="1">
      <c r="A8" s="22" t="s">
        <v>186</v>
      </c>
      <c r="B8" s="113" t="s">
        <v>521</v>
      </c>
      <c r="C8" s="114">
        <v>1093000</v>
      </c>
      <c r="D8" s="6"/>
      <c r="E8" s="6"/>
      <c r="F8" s="6"/>
      <c r="G8" s="6"/>
      <c r="H8" s="6"/>
      <c r="I8" s="7"/>
      <c r="J8" s="7"/>
    </row>
    <row r="9" spans="1:10" ht="19.5" customHeight="1">
      <c r="A9" s="22" t="s">
        <v>187</v>
      </c>
      <c r="B9" s="113" t="s">
        <v>522</v>
      </c>
      <c r="C9" s="114">
        <v>2000</v>
      </c>
      <c r="D9" s="6"/>
      <c r="E9" s="6"/>
      <c r="F9" s="6"/>
      <c r="G9" s="6"/>
      <c r="H9" s="6"/>
      <c r="I9" s="7"/>
      <c r="J9" s="7"/>
    </row>
    <row r="10" spans="1:10" ht="19.5" customHeight="1">
      <c r="A10" s="22" t="s">
        <v>188</v>
      </c>
      <c r="B10" s="113" t="s">
        <v>523</v>
      </c>
      <c r="C10" s="114">
        <v>4000</v>
      </c>
      <c r="D10" s="6"/>
      <c r="E10" s="6"/>
      <c r="F10" s="6"/>
      <c r="G10" s="6"/>
      <c r="H10" s="6"/>
      <c r="I10" s="7"/>
      <c r="J10" s="7"/>
    </row>
    <row r="11" spans="1:10" ht="19.5" customHeight="1">
      <c r="A11" s="21" t="s">
        <v>191</v>
      </c>
      <c r="B11" s="31" t="s">
        <v>183</v>
      </c>
      <c r="C11" s="70">
        <f>C12+C18</f>
        <v>1142300</v>
      </c>
      <c r="D11" s="6"/>
      <c r="E11" s="6"/>
      <c r="F11" s="6"/>
      <c r="G11" s="6"/>
      <c r="H11" s="6"/>
      <c r="I11" s="7"/>
      <c r="J11" s="7"/>
    </row>
    <row r="12" spans="1:10" ht="19.5" customHeight="1">
      <c r="A12" s="22" t="s">
        <v>186</v>
      </c>
      <c r="B12" s="113" t="s">
        <v>212</v>
      </c>
      <c r="C12" s="114">
        <f>SUM(C13:C17)</f>
        <v>981800</v>
      </c>
      <c r="D12" s="6"/>
      <c r="E12" s="6"/>
      <c r="F12" s="6"/>
      <c r="G12" s="6"/>
      <c r="H12" s="6"/>
      <c r="I12" s="7"/>
      <c r="J12" s="7"/>
    </row>
    <row r="13" spans="1:10" ht="15" customHeight="1">
      <c r="A13" s="22"/>
      <c r="B13" s="66" t="s">
        <v>474</v>
      </c>
      <c r="C13" s="114">
        <v>219800</v>
      </c>
      <c r="D13" s="6"/>
      <c r="E13" s="6"/>
      <c r="F13" s="6"/>
      <c r="G13" s="6"/>
      <c r="H13" s="6"/>
      <c r="I13" s="7"/>
      <c r="J13" s="7"/>
    </row>
    <row r="14" spans="1:10" ht="15" customHeight="1">
      <c r="A14" s="22"/>
      <c r="B14" s="66" t="s">
        <v>112</v>
      </c>
      <c r="C14" s="114">
        <v>5000</v>
      </c>
      <c r="D14" s="6"/>
      <c r="E14" s="6"/>
      <c r="F14" s="6"/>
      <c r="G14" s="6"/>
      <c r="H14" s="6"/>
      <c r="I14" s="7"/>
      <c r="J14" s="7"/>
    </row>
    <row r="15" spans="1:10" ht="15" customHeight="1">
      <c r="A15" s="22"/>
      <c r="B15" s="66" t="s">
        <v>111</v>
      </c>
      <c r="C15" s="114"/>
      <c r="D15" s="6"/>
      <c r="E15" s="6"/>
      <c r="F15" s="6"/>
      <c r="G15" s="6"/>
      <c r="H15" s="6"/>
      <c r="I15" s="7"/>
      <c r="J15" s="7"/>
    </row>
    <row r="16" spans="1:10" ht="15" customHeight="1">
      <c r="A16" s="22"/>
      <c r="B16" s="66" t="s">
        <v>524</v>
      </c>
      <c r="C16" s="114">
        <v>757000</v>
      </c>
      <c r="D16" s="6"/>
      <c r="E16" s="6"/>
      <c r="F16" s="6"/>
      <c r="G16" s="6"/>
      <c r="H16" s="6"/>
      <c r="I16" s="7"/>
      <c r="J16" s="7"/>
    </row>
    <row r="17" spans="1:10" ht="15" customHeight="1">
      <c r="A17" s="22"/>
      <c r="B17" s="64" t="s">
        <v>101</v>
      </c>
      <c r="C17" s="114"/>
      <c r="D17" s="6"/>
      <c r="E17" s="6"/>
      <c r="F17" s="6"/>
      <c r="G17" s="6"/>
      <c r="H17" s="6"/>
      <c r="I17" s="7"/>
      <c r="J17" s="7"/>
    </row>
    <row r="18" spans="1:10" ht="19.5" customHeight="1">
      <c r="A18" s="22" t="s">
        <v>187</v>
      </c>
      <c r="B18" s="113" t="s">
        <v>617</v>
      </c>
      <c r="C18" s="114">
        <f>80500+80000</f>
        <v>160500</v>
      </c>
      <c r="D18" s="6"/>
      <c r="E18" s="6"/>
      <c r="F18" s="6"/>
      <c r="G18" s="6"/>
      <c r="H18" s="6"/>
      <c r="I18" s="7"/>
      <c r="J18" s="7"/>
    </row>
    <row r="19" spans="1:10" ht="19.5" customHeight="1">
      <c r="A19" s="21" t="s">
        <v>213</v>
      </c>
      <c r="B19" s="31" t="s">
        <v>238</v>
      </c>
      <c r="C19" s="70">
        <f>C6+C7-C11</f>
        <v>166699</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400" t="s">
        <v>243</v>
      </c>
      <c r="B1" s="400"/>
      <c r="C1" s="400"/>
      <c r="D1" s="400"/>
      <c r="E1" s="400"/>
      <c r="F1" s="400"/>
    </row>
    <row r="2" spans="1:6" ht="65.25" customHeight="1">
      <c r="A2" s="13" t="s">
        <v>234</v>
      </c>
      <c r="B2" s="13" t="s">
        <v>322</v>
      </c>
      <c r="C2" s="13" t="s">
        <v>239</v>
      </c>
      <c r="D2" s="14" t="s">
        <v>240</v>
      </c>
      <c r="E2" s="14" t="s">
        <v>241</v>
      </c>
      <c r="F2" s="14" t="s">
        <v>242</v>
      </c>
    </row>
    <row r="3" spans="1:6" ht="9" customHeight="1">
      <c r="A3" s="16">
        <v>1</v>
      </c>
      <c r="B3" s="16">
        <v>2</v>
      </c>
      <c r="C3" s="16">
        <v>3</v>
      </c>
      <c r="D3" s="16">
        <v>4</v>
      </c>
      <c r="E3" s="16">
        <v>5</v>
      </c>
      <c r="F3" s="16">
        <v>6</v>
      </c>
    </row>
    <row r="4" spans="1:6" s="32" customFormat="1" ht="47.25" customHeight="1">
      <c r="A4" s="449" t="s">
        <v>186</v>
      </c>
      <c r="B4" s="448" t="s">
        <v>670</v>
      </c>
      <c r="C4" s="452" t="s">
        <v>587</v>
      </c>
      <c r="D4" s="452" t="s">
        <v>587</v>
      </c>
      <c r="E4" s="455" t="s">
        <v>587</v>
      </c>
      <c r="F4" s="81">
        <v>0</v>
      </c>
    </row>
    <row r="5" spans="1:6" s="32" customFormat="1" ht="47.25" customHeight="1">
      <c r="A5" s="450"/>
      <c r="B5" s="448"/>
      <c r="C5" s="453"/>
      <c r="D5" s="453"/>
      <c r="E5" s="456"/>
      <c r="F5" s="82"/>
    </row>
    <row r="6" spans="1:7" s="32" customFormat="1" ht="47.25" customHeight="1">
      <c r="A6" s="451"/>
      <c r="B6" s="448"/>
      <c r="C6" s="454"/>
      <c r="D6" s="454"/>
      <c r="E6" s="457"/>
      <c r="F6" s="83"/>
      <c r="G6" s="32" t="s">
        <v>199</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8">
      <selection activeCell="E20" sqref="E20"/>
    </sheetView>
  </sheetViews>
  <sheetFormatPr defaultColWidth="9.00390625" defaultRowHeight="12.75"/>
  <cols>
    <col min="4" max="4" width="31.625" style="162" customWidth="1"/>
    <col min="5" max="5" width="22.125" style="0" customWidth="1"/>
  </cols>
  <sheetData>
    <row r="1" spans="1:5" s="151" customFormat="1" ht="14.25">
      <c r="A1" s="211" t="s">
        <v>669</v>
      </c>
      <c r="B1" s="147"/>
      <c r="C1" s="148"/>
      <c r="E1" s="149"/>
    </row>
    <row r="2" spans="1:5" s="151" customFormat="1" ht="14.25">
      <c r="A2" s="146"/>
      <c r="B2" s="147"/>
      <c r="C2" s="148"/>
      <c r="D2" s="160"/>
      <c r="E2" s="149"/>
    </row>
    <row r="3" spans="1:5" s="151" customFormat="1" ht="15.75">
      <c r="A3" s="163" t="s">
        <v>619</v>
      </c>
      <c r="B3" s="147"/>
      <c r="C3" s="148"/>
      <c r="D3" s="150"/>
      <c r="E3" s="149"/>
    </row>
    <row r="4" spans="1:5" s="151" customFormat="1" ht="15" thickBot="1">
      <c r="A4" s="146"/>
      <c r="B4" s="147"/>
      <c r="C4" s="148"/>
      <c r="D4" s="161"/>
      <c r="E4" s="149"/>
    </row>
    <row r="5" spans="1:251" s="153" customFormat="1" ht="30" customHeight="1">
      <c r="A5" s="191" t="s">
        <v>525</v>
      </c>
      <c r="B5" s="192" t="s">
        <v>526</v>
      </c>
      <c r="C5" s="193" t="s">
        <v>527</v>
      </c>
      <c r="D5" s="194" t="s">
        <v>620</v>
      </c>
      <c r="E5" s="195" t="s">
        <v>634</v>
      </c>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row>
    <row r="6" spans="1:5" s="154" customFormat="1" ht="15">
      <c r="A6" s="164" t="s">
        <v>358</v>
      </c>
      <c r="B6" s="164"/>
      <c r="C6" s="165"/>
      <c r="D6" s="166" t="s">
        <v>359</v>
      </c>
      <c r="E6" s="167">
        <f>E7</f>
        <v>17000</v>
      </c>
    </row>
    <row r="7" spans="1:5" s="155" customFormat="1" ht="26.25">
      <c r="A7" s="168"/>
      <c r="B7" s="169" t="s">
        <v>531</v>
      </c>
      <c r="C7" s="170"/>
      <c r="D7" s="171" t="s">
        <v>621</v>
      </c>
      <c r="E7" s="172">
        <f>SUM(E8:E8)</f>
        <v>17000</v>
      </c>
    </row>
    <row r="8" spans="1:5" s="155" customFormat="1" ht="14.25">
      <c r="A8" s="168"/>
      <c r="B8" s="168"/>
      <c r="C8" s="170" t="s">
        <v>533</v>
      </c>
      <c r="D8" s="173" t="s">
        <v>622</v>
      </c>
      <c r="E8" s="174">
        <v>17000</v>
      </c>
    </row>
    <row r="9" spans="1:5" s="156" customFormat="1" ht="15">
      <c r="A9" s="175">
        <v>700</v>
      </c>
      <c r="B9" s="175"/>
      <c r="C9" s="176"/>
      <c r="D9" s="177" t="s">
        <v>395</v>
      </c>
      <c r="E9" s="178">
        <f>E10</f>
        <v>394000</v>
      </c>
    </row>
    <row r="10" spans="1:5" s="158" customFormat="1" ht="26.25">
      <c r="A10" s="179"/>
      <c r="B10" s="179">
        <v>70005</v>
      </c>
      <c r="C10" s="180"/>
      <c r="D10" s="181" t="s">
        <v>396</v>
      </c>
      <c r="E10" s="182">
        <f>SUM(E11:E13)</f>
        <v>394000</v>
      </c>
    </row>
    <row r="11" spans="1:5" s="157" customFormat="1" ht="38.25">
      <c r="A11" s="183"/>
      <c r="B11" s="183"/>
      <c r="C11" s="184" t="s">
        <v>623</v>
      </c>
      <c r="D11" s="185" t="s">
        <v>624</v>
      </c>
      <c r="E11" s="186">
        <v>380000</v>
      </c>
    </row>
    <row r="12" spans="1:5" s="157" customFormat="1" ht="89.25">
      <c r="A12" s="183"/>
      <c r="B12" s="183"/>
      <c r="C12" s="184" t="s">
        <v>534</v>
      </c>
      <c r="D12" s="185" t="s">
        <v>625</v>
      </c>
      <c r="E12" s="186">
        <v>10000</v>
      </c>
    </row>
    <row r="13" spans="1:5" s="157" customFormat="1" ht="51">
      <c r="A13" s="183"/>
      <c r="B13" s="183"/>
      <c r="C13" s="184" t="s">
        <v>626</v>
      </c>
      <c r="D13" s="185" t="s">
        <v>627</v>
      </c>
      <c r="E13" s="186">
        <v>4000</v>
      </c>
    </row>
    <row r="14" spans="1:5" s="156" customFormat="1" ht="15">
      <c r="A14" s="175">
        <v>710</v>
      </c>
      <c r="B14" s="175"/>
      <c r="C14" s="176"/>
      <c r="D14" s="177" t="s">
        <v>628</v>
      </c>
      <c r="E14" s="178">
        <f>E15</f>
        <v>1000</v>
      </c>
    </row>
    <row r="15" spans="1:5" s="158" customFormat="1" ht="15">
      <c r="A15" s="179"/>
      <c r="B15" s="179">
        <v>71015</v>
      </c>
      <c r="C15" s="180"/>
      <c r="D15" s="181" t="s">
        <v>629</v>
      </c>
      <c r="E15" s="182">
        <f>SUM(E16)</f>
        <v>1000</v>
      </c>
    </row>
    <row r="16" spans="1:7" s="157" customFormat="1" ht="25.5">
      <c r="A16" s="183"/>
      <c r="B16" s="183"/>
      <c r="C16" s="184" t="s">
        <v>630</v>
      </c>
      <c r="D16" s="185" t="s">
        <v>631</v>
      </c>
      <c r="E16" s="186">
        <v>1000</v>
      </c>
      <c r="G16" s="152"/>
    </row>
    <row r="17" spans="1:5" s="156" customFormat="1" ht="15">
      <c r="A17" s="175">
        <v>852</v>
      </c>
      <c r="B17" s="175"/>
      <c r="C17" s="176"/>
      <c r="D17" s="177" t="s">
        <v>632</v>
      </c>
      <c r="E17" s="178">
        <f>E18</f>
        <v>16700</v>
      </c>
    </row>
    <row r="18" spans="1:5" s="158" customFormat="1" ht="15">
      <c r="A18" s="179"/>
      <c r="B18" s="179">
        <v>85203</v>
      </c>
      <c r="C18" s="180"/>
      <c r="D18" s="181" t="s">
        <v>635</v>
      </c>
      <c r="E18" s="182">
        <f>SUM(E19)</f>
        <v>16700</v>
      </c>
    </row>
    <row r="19" spans="1:5" s="157" customFormat="1" ht="14.25">
      <c r="A19" s="183"/>
      <c r="B19" s="183"/>
      <c r="C19" s="184" t="s">
        <v>544</v>
      </c>
      <c r="D19" s="76" t="s">
        <v>545</v>
      </c>
      <c r="E19" s="186">
        <v>16700</v>
      </c>
    </row>
    <row r="20" spans="1:5" s="159" customFormat="1" ht="26.25">
      <c r="A20" s="187"/>
      <c r="B20" s="187"/>
      <c r="C20" s="188"/>
      <c r="D20" s="189" t="s">
        <v>633</v>
      </c>
      <c r="E20" s="190">
        <f>E6+E10+E14+E17</f>
        <v>428700</v>
      </c>
    </row>
    <row r="21" spans="1:5" s="157" customFormat="1" ht="14.25">
      <c r="A21" s="183"/>
      <c r="B21" s="183"/>
      <c r="C21" s="184"/>
      <c r="D21" s="185"/>
      <c r="E21" s="186"/>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2"/>
  <sheetViews>
    <sheetView showGridLines="0" zoomScalePageLayoutView="0" workbookViewId="0" topLeftCell="C33">
      <selection activeCell="D41" sqref="D41"/>
    </sheetView>
  </sheetViews>
  <sheetFormatPr defaultColWidth="9.00390625" defaultRowHeight="12.75"/>
  <cols>
    <col min="1" max="1" width="6.25390625" style="0" customWidth="1"/>
    <col min="2" max="2" width="55.125" style="0" customWidth="1"/>
    <col min="3" max="3" width="15.875" style="0" bestFit="1" customWidth="1"/>
    <col min="4" max="14" width="10.75390625" style="0" bestFit="1" customWidth="1"/>
  </cols>
  <sheetData>
    <row r="1" spans="1:8" ht="18">
      <c r="A1" s="447" t="s">
        <v>694</v>
      </c>
      <c r="B1" s="447"/>
      <c r="C1" s="447"/>
      <c r="D1" s="447"/>
      <c r="E1" s="447"/>
      <c r="F1" s="447"/>
      <c r="G1" s="447"/>
      <c r="H1" s="447"/>
    </row>
    <row r="2" spans="1:14" ht="9" customHeight="1">
      <c r="A2" s="5"/>
      <c r="B2" s="5"/>
      <c r="C2" s="5"/>
      <c r="D2" s="5"/>
      <c r="E2" s="5"/>
      <c r="F2" s="5"/>
      <c r="G2" s="5"/>
      <c r="H2" s="5"/>
      <c r="I2" s="5"/>
      <c r="J2" s="5"/>
      <c r="K2" s="5"/>
      <c r="L2" s="5"/>
      <c r="M2" s="5"/>
      <c r="N2" s="5"/>
    </row>
    <row r="3" spans="8:14" ht="12.75">
      <c r="H3" s="51" t="s">
        <v>216</v>
      </c>
      <c r="I3" s="51"/>
      <c r="J3" s="51"/>
      <c r="K3" s="51"/>
      <c r="L3" s="51"/>
      <c r="M3" s="51"/>
      <c r="N3" s="51"/>
    </row>
    <row r="4" spans="1:8" s="40" customFormat="1" ht="35.25" customHeight="1">
      <c r="A4" s="403" t="s">
        <v>234</v>
      </c>
      <c r="B4" s="403" t="s">
        <v>175</v>
      </c>
      <c r="C4" s="458" t="s">
        <v>697</v>
      </c>
      <c r="D4" s="460"/>
      <c r="E4" s="460"/>
      <c r="F4" s="460"/>
      <c r="G4" s="460"/>
      <c r="H4" s="460"/>
    </row>
    <row r="5" spans="1:14" s="40" customFormat="1" ht="23.25" customHeight="1">
      <c r="A5" s="403"/>
      <c r="B5" s="403"/>
      <c r="C5" s="459"/>
      <c r="D5" s="48">
        <v>2009</v>
      </c>
      <c r="E5" s="48">
        <v>2010</v>
      </c>
      <c r="F5" s="48">
        <v>2011</v>
      </c>
      <c r="G5" s="48">
        <v>2012</v>
      </c>
      <c r="H5" s="48">
        <v>2013</v>
      </c>
      <c r="I5" s="48">
        <v>2014</v>
      </c>
      <c r="J5" s="48">
        <v>2015</v>
      </c>
      <c r="K5" s="48">
        <v>2016</v>
      </c>
      <c r="L5" s="48">
        <v>2017</v>
      </c>
      <c r="M5" s="48">
        <v>2018</v>
      </c>
      <c r="N5" s="48">
        <v>2019</v>
      </c>
    </row>
    <row r="6" spans="1:14" s="47" customFormat="1" ht="8.25">
      <c r="A6" s="46">
        <v>1</v>
      </c>
      <c r="B6" s="46">
        <v>2</v>
      </c>
      <c r="C6" s="46">
        <v>3</v>
      </c>
      <c r="D6" s="46">
        <v>5</v>
      </c>
      <c r="E6" s="46">
        <v>6</v>
      </c>
      <c r="F6" s="46">
        <v>7</v>
      </c>
      <c r="G6" s="46">
        <v>8</v>
      </c>
      <c r="H6" s="46">
        <v>9</v>
      </c>
      <c r="I6" s="46">
        <v>9</v>
      </c>
      <c r="J6" s="46">
        <v>9</v>
      </c>
      <c r="K6" s="46">
        <v>9</v>
      </c>
      <c r="L6" s="46">
        <v>9</v>
      </c>
      <c r="M6" s="46">
        <v>9</v>
      </c>
      <c r="N6" s="46">
        <v>9</v>
      </c>
    </row>
    <row r="7" spans="1:14" s="40" customFormat="1" ht="22.5" customHeight="1">
      <c r="A7" s="38" t="s">
        <v>186</v>
      </c>
      <c r="B7" s="50" t="s">
        <v>325</v>
      </c>
      <c r="C7" s="237">
        <f aca="true" t="shared" si="0" ref="C7:M7">C8+C18+C22</f>
        <v>4101316</v>
      </c>
      <c r="D7" s="237">
        <f t="shared" si="0"/>
        <v>8466316</v>
      </c>
      <c r="E7" s="237">
        <f t="shared" si="0"/>
        <v>1975000</v>
      </c>
      <c r="F7" s="237">
        <f t="shared" si="0"/>
        <v>1500000</v>
      </c>
      <c r="G7" s="237">
        <f t="shared" si="0"/>
        <v>1025000</v>
      </c>
      <c r="H7" s="237">
        <f t="shared" si="0"/>
        <v>0</v>
      </c>
      <c r="I7" s="237">
        <f t="shared" si="0"/>
        <v>0</v>
      </c>
      <c r="J7" s="237">
        <f t="shared" si="0"/>
        <v>0</v>
      </c>
      <c r="K7" s="237">
        <f t="shared" si="0"/>
        <v>0</v>
      </c>
      <c r="L7" s="237">
        <f t="shared" si="0"/>
        <v>0</v>
      </c>
      <c r="M7" s="237">
        <f t="shared" si="0"/>
        <v>0</v>
      </c>
      <c r="N7" s="237">
        <f>N8+N18+N22</f>
        <v>0</v>
      </c>
    </row>
    <row r="8" spans="1:14" s="39" customFormat="1" ht="15" customHeight="1">
      <c r="A8" s="41" t="s">
        <v>261</v>
      </c>
      <c r="B8" s="43" t="s">
        <v>346</v>
      </c>
      <c r="C8" s="127">
        <f aca="true" t="shared" si="1" ref="C8:H8">SUM(C9:C17)-C10</f>
        <v>4101316</v>
      </c>
      <c r="D8" s="127">
        <f t="shared" si="1"/>
        <v>2996316</v>
      </c>
      <c r="E8" s="127">
        <f t="shared" si="1"/>
        <v>1975000</v>
      </c>
      <c r="F8" s="127">
        <f t="shared" si="1"/>
        <v>1500000</v>
      </c>
      <c r="G8" s="127">
        <f t="shared" si="1"/>
        <v>1025000</v>
      </c>
      <c r="H8" s="127">
        <f t="shared" si="1"/>
        <v>0</v>
      </c>
      <c r="I8" s="127">
        <f aca="true" t="shared" si="2" ref="I8:N8">SUM(I9:I17)-I10</f>
        <v>0</v>
      </c>
      <c r="J8" s="127">
        <f t="shared" si="2"/>
        <v>0</v>
      </c>
      <c r="K8" s="127">
        <f t="shared" si="2"/>
        <v>0</v>
      </c>
      <c r="L8" s="127">
        <f t="shared" si="2"/>
        <v>0</v>
      </c>
      <c r="M8" s="127">
        <f t="shared" si="2"/>
        <v>0</v>
      </c>
      <c r="N8" s="127">
        <f t="shared" si="2"/>
        <v>0</v>
      </c>
    </row>
    <row r="9" spans="1:14" s="39" customFormat="1" ht="15" customHeight="1">
      <c r="A9" s="45" t="s">
        <v>330</v>
      </c>
      <c r="B9" s="44" t="s">
        <v>277</v>
      </c>
      <c r="C9" s="117"/>
      <c r="D9" s="117"/>
      <c r="E9" s="117"/>
      <c r="F9" s="117"/>
      <c r="G9" s="117"/>
      <c r="H9" s="117"/>
      <c r="I9" s="117"/>
      <c r="J9" s="117"/>
      <c r="K9" s="117"/>
      <c r="L9" s="117"/>
      <c r="M9" s="117"/>
      <c r="N9" s="117"/>
    </row>
    <row r="10" spans="1:14" s="39" customFormat="1" ht="15" customHeight="1">
      <c r="A10" s="45" t="s">
        <v>331</v>
      </c>
      <c r="B10" s="44" t="s">
        <v>278</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5">
        <v>2004</v>
      </c>
      <c r="B11" s="44" t="s">
        <v>109</v>
      </c>
      <c r="C11" s="120"/>
      <c r="D11" s="117"/>
      <c r="E11" s="117"/>
      <c r="F11" s="117"/>
      <c r="G11" s="117"/>
      <c r="H11" s="117"/>
      <c r="I11" s="117"/>
      <c r="J11" s="117"/>
      <c r="K11" s="117"/>
      <c r="L11" s="117"/>
      <c r="M11" s="117"/>
      <c r="N11" s="117"/>
    </row>
    <row r="12" spans="1:14" s="39" customFormat="1" ht="15" customHeight="1">
      <c r="A12" s="45">
        <v>2005</v>
      </c>
      <c r="B12" s="44" t="s">
        <v>163</v>
      </c>
      <c r="C12" s="120"/>
      <c r="D12" s="117"/>
      <c r="E12" s="117"/>
      <c r="F12" s="117"/>
      <c r="G12" s="117"/>
      <c r="H12" s="117"/>
      <c r="I12" s="117"/>
      <c r="J12" s="117"/>
      <c r="K12" s="117"/>
      <c r="L12" s="117"/>
      <c r="M12" s="117"/>
      <c r="N12" s="117"/>
    </row>
    <row r="13" spans="1:14" s="39" customFormat="1" ht="15" customHeight="1">
      <c r="A13" s="45">
        <v>2006</v>
      </c>
      <c r="B13" s="44" t="s">
        <v>595</v>
      </c>
      <c r="C13" s="119">
        <v>1921316</v>
      </c>
      <c r="D13" s="117">
        <v>921316</v>
      </c>
      <c r="E13" s="117"/>
      <c r="F13" s="117"/>
      <c r="G13" s="117"/>
      <c r="H13" s="117"/>
      <c r="I13" s="117"/>
      <c r="J13" s="117"/>
      <c r="K13" s="117"/>
      <c r="L13" s="117"/>
      <c r="M13" s="117"/>
      <c r="N13" s="117"/>
    </row>
    <row r="14" spans="1:14" s="39" customFormat="1" ht="15" customHeight="1">
      <c r="A14" s="45">
        <v>2007</v>
      </c>
      <c r="B14" s="44" t="s">
        <v>110</v>
      </c>
      <c r="C14" s="119">
        <v>950000</v>
      </c>
      <c r="D14" s="117">
        <v>900000</v>
      </c>
      <c r="E14" s="117">
        <v>850000</v>
      </c>
      <c r="F14" s="117">
        <v>425000</v>
      </c>
      <c r="G14" s="117"/>
      <c r="H14" s="117"/>
      <c r="I14" s="117"/>
      <c r="J14" s="117"/>
      <c r="K14" s="117"/>
      <c r="L14" s="117"/>
      <c r="M14" s="117"/>
      <c r="N14" s="117"/>
    </row>
    <row r="15" spans="1:14" s="39" customFormat="1" ht="15" customHeight="1">
      <c r="A15" s="45">
        <v>2008</v>
      </c>
      <c r="B15" s="44" t="s">
        <v>154</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5"/>
      <c r="B16" s="44"/>
      <c r="C16" s="119"/>
      <c r="D16" s="117"/>
      <c r="E16" s="117"/>
      <c r="F16" s="117"/>
      <c r="G16" s="117"/>
      <c r="H16" s="117"/>
      <c r="I16" s="117"/>
      <c r="J16" s="117"/>
      <c r="K16" s="117"/>
      <c r="L16" s="117"/>
      <c r="M16" s="117"/>
      <c r="N16" s="117"/>
    </row>
    <row r="17" spans="1:14" s="39" customFormat="1" ht="15" customHeight="1">
      <c r="A17" s="45" t="s">
        <v>332</v>
      </c>
      <c r="B17" s="44" t="s">
        <v>279</v>
      </c>
      <c r="C17" s="117"/>
      <c r="D17" s="117"/>
      <c r="E17" s="117"/>
      <c r="F17" s="117"/>
      <c r="G17" s="117"/>
      <c r="H17" s="117"/>
      <c r="I17" s="117"/>
      <c r="J17" s="117"/>
      <c r="K17" s="117"/>
      <c r="L17" s="117"/>
      <c r="M17" s="117"/>
      <c r="N17" s="117"/>
    </row>
    <row r="18" spans="1:14" s="39" customFormat="1" ht="12.75">
      <c r="A18" s="41" t="s">
        <v>267</v>
      </c>
      <c r="B18" s="282" t="s">
        <v>53</v>
      </c>
      <c r="C18" s="117">
        <f aca="true" t="shared" si="4" ref="C18:M18">SUM(C19:C21)</f>
        <v>0</v>
      </c>
      <c r="D18" s="117">
        <f t="shared" si="4"/>
        <v>5470000</v>
      </c>
      <c r="E18" s="117">
        <f t="shared" si="4"/>
        <v>0</v>
      </c>
      <c r="F18" s="117">
        <f t="shared" si="4"/>
        <v>0</v>
      </c>
      <c r="G18" s="117">
        <f t="shared" si="4"/>
        <v>0</v>
      </c>
      <c r="H18" s="117">
        <f t="shared" si="4"/>
        <v>0</v>
      </c>
      <c r="I18" s="117">
        <f t="shared" si="4"/>
        <v>0</v>
      </c>
      <c r="J18" s="117">
        <f t="shared" si="4"/>
        <v>0</v>
      </c>
      <c r="K18" s="117">
        <f t="shared" si="4"/>
        <v>0</v>
      </c>
      <c r="L18" s="117">
        <f t="shared" si="4"/>
        <v>0</v>
      </c>
      <c r="M18" s="117">
        <f t="shared" si="4"/>
        <v>0</v>
      </c>
      <c r="N18" s="117">
        <f>SUM(N19:N21)</f>
        <v>0</v>
      </c>
    </row>
    <row r="19" spans="1:14" s="39" customFormat="1" ht="15" customHeight="1">
      <c r="A19" s="45" t="s">
        <v>333</v>
      </c>
      <c r="B19" s="44" t="s">
        <v>280</v>
      </c>
      <c r="C19" s="117"/>
      <c r="D19" s="117"/>
      <c r="E19" s="117"/>
      <c r="F19" s="117"/>
      <c r="G19" s="117"/>
      <c r="H19" s="117"/>
      <c r="I19" s="117"/>
      <c r="J19" s="117"/>
      <c r="K19" s="117"/>
      <c r="L19" s="117"/>
      <c r="M19" s="117"/>
      <c r="N19" s="117"/>
    </row>
    <row r="20" spans="1:14" s="39" customFormat="1" ht="15" customHeight="1">
      <c r="A20" s="45" t="s">
        <v>334</v>
      </c>
      <c r="B20" s="44" t="s">
        <v>281</v>
      </c>
      <c r="C20" s="117"/>
      <c r="D20" s="117"/>
      <c r="E20" s="117"/>
      <c r="F20" s="117"/>
      <c r="G20" s="117"/>
      <c r="H20" s="117"/>
      <c r="I20" s="117"/>
      <c r="J20" s="117"/>
      <c r="K20" s="117"/>
      <c r="L20" s="117"/>
      <c r="M20" s="117"/>
      <c r="N20" s="117"/>
    </row>
    <row r="21" spans="1:14" s="39" customFormat="1" ht="15" customHeight="1">
      <c r="A21" s="45" t="s">
        <v>335</v>
      </c>
      <c r="B21" s="44" t="s">
        <v>256</v>
      </c>
      <c r="C21" s="117"/>
      <c r="D21" s="117">
        <v>5470000</v>
      </c>
      <c r="E21" s="117"/>
      <c r="F21" s="117"/>
      <c r="G21" s="117"/>
      <c r="H21" s="117"/>
      <c r="I21" s="117"/>
      <c r="J21" s="117"/>
      <c r="K21" s="117"/>
      <c r="L21" s="117"/>
      <c r="M21" s="117"/>
      <c r="N21" s="117"/>
    </row>
    <row r="22" spans="1:14" s="39" customFormat="1" ht="15" customHeight="1">
      <c r="A22" s="41" t="s">
        <v>268</v>
      </c>
      <c r="B22" s="43" t="s">
        <v>282</v>
      </c>
      <c r="C22" s="121">
        <f aca="true" t="shared" si="5" ref="C22:L22">SUM(C23:C24)</f>
        <v>0</v>
      </c>
      <c r="D22" s="121">
        <f t="shared" si="5"/>
        <v>0</v>
      </c>
      <c r="E22" s="121">
        <f t="shared" si="5"/>
        <v>0</v>
      </c>
      <c r="F22" s="121">
        <f t="shared" si="5"/>
        <v>0</v>
      </c>
      <c r="G22" s="121">
        <f t="shared" si="5"/>
        <v>0</v>
      </c>
      <c r="H22" s="121">
        <f t="shared" si="5"/>
        <v>0</v>
      </c>
      <c r="I22" s="121">
        <f t="shared" si="5"/>
        <v>0</v>
      </c>
      <c r="J22" s="121">
        <f t="shared" si="5"/>
        <v>0</v>
      </c>
      <c r="K22" s="121">
        <f t="shared" si="5"/>
        <v>0</v>
      </c>
      <c r="L22" s="121">
        <f t="shared" si="5"/>
        <v>0</v>
      </c>
      <c r="M22" s="121">
        <f>SUM(M23:M24)</f>
        <v>0</v>
      </c>
      <c r="N22" s="121">
        <f>SUM(N23:N24)</f>
        <v>0</v>
      </c>
    </row>
    <row r="23" spans="1:14" s="39" customFormat="1" ht="15" customHeight="1">
      <c r="A23" s="45" t="s">
        <v>348</v>
      </c>
      <c r="B23" s="63" t="s">
        <v>350</v>
      </c>
      <c r="C23" s="122"/>
      <c r="D23" s="122"/>
      <c r="E23" s="122"/>
      <c r="F23" s="122"/>
      <c r="G23" s="122"/>
      <c r="H23" s="122"/>
      <c r="I23" s="122"/>
      <c r="J23" s="122"/>
      <c r="K23" s="122"/>
      <c r="L23" s="122"/>
      <c r="M23" s="122"/>
      <c r="N23" s="122"/>
    </row>
    <row r="24" spans="1:14" s="39" customFormat="1" ht="15" customHeight="1">
      <c r="A24" s="45" t="s">
        <v>349</v>
      </c>
      <c r="B24" s="63" t="s">
        <v>351</v>
      </c>
      <c r="C24" s="122"/>
      <c r="D24" s="122"/>
      <c r="E24" s="122"/>
      <c r="F24" s="122"/>
      <c r="G24" s="122"/>
      <c r="H24" s="122"/>
      <c r="I24" s="122"/>
      <c r="J24" s="122"/>
      <c r="K24" s="122"/>
      <c r="L24" s="122"/>
      <c r="M24" s="122"/>
      <c r="N24" s="122"/>
    </row>
    <row r="25" spans="1:14" s="40" customFormat="1" ht="22.5" customHeight="1">
      <c r="A25" s="38">
        <v>2</v>
      </c>
      <c r="B25" s="50" t="s">
        <v>638</v>
      </c>
      <c r="C25" s="237">
        <f aca="true" t="shared" si="6" ref="C25:N25">C26+C37+C38</f>
        <v>2280842</v>
      </c>
      <c r="D25" s="237">
        <f t="shared" si="6"/>
        <v>1580000</v>
      </c>
      <c r="E25" s="237">
        <f t="shared" si="6"/>
        <v>1827694</v>
      </c>
      <c r="F25" s="237">
        <f t="shared" si="6"/>
        <v>1226038</v>
      </c>
      <c r="G25" s="237">
        <f t="shared" si="6"/>
        <v>1202236</v>
      </c>
      <c r="H25" s="237">
        <f t="shared" si="6"/>
        <v>1724000</v>
      </c>
      <c r="I25" s="237">
        <f t="shared" si="6"/>
        <v>2190000</v>
      </c>
      <c r="J25" s="237">
        <f t="shared" si="6"/>
        <v>2067000</v>
      </c>
      <c r="K25" s="237">
        <f t="shared" si="6"/>
        <v>1950000</v>
      </c>
      <c r="L25" s="237">
        <f t="shared" si="6"/>
        <v>2205000</v>
      </c>
      <c r="M25" s="237">
        <f t="shared" si="6"/>
        <v>2142000</v>
      </c>
      <c r="N25" s="237">
        <f t="shared" si="6"/>
        <v>1047000</v>
      </c>
    </row>
    <row r="26" spans="1:14" s="40" customFormat="1" ht="15" customHeight="1">
      <c r="A26" s="38" t="s">
        <v>270</v>
      </c>
      <c r="B26" s="50" t="s">
        <v>345</v>
      </c>
      <c r="C26" s="237">
        <f aca="true" t="shared" si="7" ref="C26:N26">C27+C34+C36</f>
        <v>2007842</v>
      </c>
      <c r="D26" s="237">
        <f t="shared" si="7"/>
        <v>1225000</v>
      </c>
      <c r="E26" s="237">
        <f t="shared" si="7"/>
        <v>1261316</v>
      </c>
      <c r="F26" s="237">
        <f t="shared" si="7"/>
        <v>717000</v>
      </c>
      <c r="G26" s="237">
        <f t="shared" si="7"/>
        <v>719000</v>
      </c>
      <c r="H26" s="237">
        <f t="shared" si="7"/>
        <v>1271000</v>
      </c>
      <c r="I26" s="237">
        <f t="shared" si="7"/>
        <v>1748000</v>
      </c>
      <c r="J26" s="237">
        <f t="shared" si="7"/>
        <v>1750000</v>
      </c>
      <c r="K26" s="237">
        <f t="shared" si="7"/>
        <v>1753000</v>
      </c>
      <c r="L26" s="237">
        <f t="shared" si="7"/>
        <v>2128000</v>
      </c>
      <c r="M26" s="237">
        <f t="shared" si="7"/>
        <v>2065000</v>
      </c>
      <c r="N26" s="237">
        <f t="shared" si="7"/>
        <v>970000</v>
      </c>
    </row>
    <row r="27" spans="1:14" s="39" customFormat="1" ht="15" customHeight="1">
      <c r="A27" s="45" t="s">
        <v>327</v>
      </c>
      <c r="B27" s="44" t="s">
        <v>338</v>
      </c>
      <c r="C27" s="117">
        <f>SUM(C28:C32)</f>
        <v>2007842</v>
      </c>
      <c r="D27" s="117">
        <f aca="true" t="shared" si="8" ref="D27:L27">SUM(D28:D33)</f>
        <v>1105000</v>
      </c>
      <c r="E27" s="117">
        <f t="shared" si="8"/>
        <v>1021316</v>
      </c>
      <c r="F27" s="117">
        <f t="shared" si="8"/>
        <v>475000</v>
      </c>
      <c r="G27" s="117">
        <f t="shared" si="8"/>
        <v>475000</v>
      </c>
      <c r="H27" s="117">
        <f t="shared" si="8"/>
        <v>1025000</v>
      </c>
      <c r="I27" s="117">
        <f t="shared" si="8"/>
        <v>0</v>
      </c>
      <c r="J27" s="117">
        <f t="shared" si="8"/>
        <v>0</v>
      </c>
      <c r="K27" s="117">
        <f t="shared" si="8"/>
        <v>0</v>
      </c>
      <c r="L27" s="117">
        <f t="shared" si="8"/>
        <v>0</v>
      </c>
      <c r="M27" s="117">
        <f>SUM(M28:M33)</f>
        <v>0</v>
      </c>
      <c r="N27" s="117">
        <f>SUM(N28:N33)</f>
        <v>0</v>
      </c>
    </row>
    <row r="28" spans="1:14" s="39" customFormat="1" ht="15" customHeight="1">
      <c r="A28" s="45"/>
      <c r="B28" s="116" t="s">
        <v>596</v>
      </c>
      <c r="C28" s="123"/>
      <c r="D28" s="117"/>
      <c r="E28" s="117"/>
      <c r="F28" s="117"/>
      <c r="G28" s="117"/>
      <c r="H28" s="117"/>
      <c r="I28" s="117"/>
      <c r="J28" s="117"/>
      <c r="K28" s="117"/>
      <c r="L28" s="117"/>
      <c r="M28" s="117"/>
      <c r="N28" s="117"/>
    </row>
    <row r="29" spans="1:14" s="39" customFormat="1" ht="15" customHeight="1">
      <c r="A29" s="45"/>
      <c r="B29" s="116" t="s">
        <v>597</v>
      </c>
      <c r="C29" s="123">
        <v>157842</v>
      </c>
      <c r="D29" s="115"/>
      <c r="E29" s="117"/>
      <c r="F29" s="117"/>
      <c r="G29" s="124"/>
      <c r="H29" s="117"/>
      <c r="I29" s="117"/>
      <c r="J29" s="117"/>
      <c r="K29" s="117"/>
      <c r="L29" s="117"/>
      <c r="M29" s="117"/>
      <c r="N29" s="117"/>
    </row>
    <row r="30" spans="1:14" s="39" customFormat="1" ht="15" customHeight="1">
      <c r="A30" s="45"/>
      <c r="B30" s="116" t="s">
        <v>598</v>
      </c>
      <c r="C30" s="123">
        <v>800000</v>
      </c>
      <c r="E30" s="117"/>
      <c r="F30" s="117"/>
      <c r="G30" s="124"/>
      <c r="H30" s="117"/>
      <c r="I30" s="117"/>
      <c r="J30" s="117"/>
      <c r="K30" s="117"/>
      <c r="L30" s="117"/>
      <c r="M30" s="117"/>
      <c r="N30" s="117"/>
    </row>
    <row r="31" spans="1:14" s="39" customFormat="1" ht="15" customHeight="1">
      <c r="A31" s="45"/>
      <c r="B31" s="116" t="s">
        <v>599</v>
      </c>
      <c r="C31" s="123">
        <v>1000000</v>
      </c>
      <c r="D31" s="125">
        <v>1000000</v>
      </c>
      <c r="E31" s="126">
        <v>921316</v>
      </c>
      <c r="F31" s="115"/>
      <c r="G31" s="117"/>
      <c r="H31" s="117"/>
      <c r="I31" s="117"/>
      <c r="J31" s="117"/>
      <c r="K31" s="117"/>
      <c r="L31" s="117"/>
      <c r="M31" s="117"/>
      <c r="N31" s="117"/>
    </row>
    <row r="32" spans="1:14" s="39" customFormat="1" ht="15" customHeight="1">
      <c r="A32" s="45"/>
      <c r="B32" s="116" t="s">
        <v>601</v>
      </c>
      <c r="C32" s="117">
        <v>50000</v>
      </c>
      <c r="D32" s="125">
        <v>50000</v>
      </c>
      <c r="E32" s="126">
        <v>50000</v>
      </c>
      <c r="F32" s="124">
        <v>425000</v>
      </c>
      <c r="G32" s="117">
        <v>425000</v>
      </c>
      <c r="H32" s="115"/>
      <c r="I32" s="115"/>
      <c r="J32" s="115"/>
      <c r="K32" s="115"/>
      <c r="L32" s="115"/>
      <c r="M32" s="115"/>
      <c r="N32" s="115"/>
    </row>
    <row r="33" spans="1:14" s="39" customFormat="1" ht="15" customHeight="1">
      <c r="A33" s="45"/>
      <c r="B33" s="116" t="s">
        <v>168</v>
      </c>
      <c r="C33" s="117"/>
      <c r="D33" s="125">
        <v>55000</v>
      </c>
      <c r="E33" s="126">
        <v>50000</v>
      </c>
      <c r="F33" s="124">
        <v>50000</v>
      </c>
      <c r="G33" s="117">
        <v>50000</v>
      </c>
      <c r="H33" s="245">
        <v>1025000</v>
      </c>
      <c r="I33" s="245"/>
      <c r="J33" s="245"/>
      <c r="K33" s="245"/>
      <c r="L33" s="245"/>
      <c r="M33" s="245"/>
      <c r="N33" s="245"/>
    </row>
    <row r="34" spans="1:14" s="39" customFormat="1" ht="15" customHeight="1">
      <c r="A34" s="45" t="s">
        <v>328</v>
      </c>
      <c r="B34" s="44" t="s">
        <v>340</v>
      </c>
      <c r="C34" s="117">
        <f>SUM(C35:C36)</f>
        <v>0</v>
      </c>
      <c r="D34" s="117">
        <f aca="true" t="shared" si="9" ref="D34:N34">SUM(D35:D35)</f>
        <v>0</v>
      </c>
      <c r="E34" s="117">
        <f t="shared" si="9"/>
        <v>0</v>
      </c>
      <c r="F34" s="117">
        <f t="shared" si="9"/>
        <v>0</v>
      </c>
      <c r="G34" s="117">
        <f t="shared" si="9"/>
        <v>0</v>
      </c>
      <c r="H34" s="117">
        <f t="shared" si="9"/>
        <v>0</v>
      </c>
      <c r="I34" s="117">
        <f t="shared" si="9"/>
        <v>1500000</v>
      </c>
      <c r="J34" s="117">
        <f t="shared" si="9"/>
        <v>1500000</v>
      </c>
      <c r="K34" s="117">
        <f t="shared" si="9"/>
        <v>1500000</v>
      </c>
      <c r="L34" s="117">
        <f t="shared" si="9"/>
        <v>0</v>
      </c>
      <c r="M34" s="117">
        <f t="shared" si="9"/>
        <v>0</v>
      </c>
      <c r="N34" s="117">
        <f t="shared" si="9"/>
        <v>970000</v>
      </c>
    </row>
    <row r="35" spans="1:14" s="39" customFormat="1" ht="15" customHeight="1">
      <c r="A35" s="45"/>
      <c r="B35" s="44" t="s">
        <v>698</v>
      </c>
      <c r="C35" s="117"/>
      <c r="D35" s="117"/>
      <c r="E35" s="117"/>
      <c r="F35" s="117"/>
      <c r="G35" s="117"/>
      <c r="H35" s="117"/>
      <c r="I35" s="117">
        <v>1500000</v>
      </c>
      <c r="J35" s="117">
        <v>1500000</v>
      </c>
      <c r="K35" s="117">
        <v>1500000</v>
      </c>
      <c r="L35" s="117"/>
      <c r="M35" s="117"/>
      <c r="N35" s="117">
        <v>970000</v>
      </c>
    </row>
    <row r="36" spans="1:15" s="39" customFormat="1" ht="15" customHeight="1">
      <c r="A36" s="45" t="s">
        <v>329</v>
      </c>
      <c r="B36" s="44" t="s">
        <v>339</v>
      </c>
      <c r="C36" s="117"/>
      <c r="D36" s="117">
        <v>120000</v>
      </c>
      <c r="E36" s="117">
        <v>240000</v>
      </c>
      <c r="F36" s="117">
        <v>242000</v>
      </c>
      <c r="G36" s="117">
        <v>244000</v>
      </c>
      <c r="H36" s="117">
        <v>246000</v>
      </c>
      <c r="I36" s="117">
        <v>248000</v>
      </c>
      <c r="J36" s="117">
        <v>250000</v>
      </c>
      <c r="K36" s="117">
        <v>253000</v>
      </c>
      <c r="L36" s="117">
        <v>2128000</v>
      </c>
      <c r="M36" s="117">
        <v>2065000</v>
      </c>
      <c r="N36" s="117"/>
      <c r="O36" s="380">
        <f>SUM(D36:N36)</f>
        <v>6036000</v>
      </c>
    </row>
    <row r="37" spans="1:14" s="39" customFormat="1" ht="15" customHeight="1">
      <c r="A37" s="41" t="s">
        <v>271</v>
      </c>
      <c r="B37" s="43" t="s">
        <v>337</v>
      </c>
      <c r="C37" s="127">
        <v>0</v>
      </c>
      <c r="D37" s="127">
        <v>0</v>
      </c>
      <c r="E37" s="127">
        <v>0</v>
      </c>
      <c r="F37" s="127">
        <v>0</v>
      </c>
      <c r="G37" s="127"/>
      <c r="H37" s="127"/>
      <c r="I37" s="127"/>
      <c r="J37" s="127"/>
      <c r="K37" s="127"/>
      <c r="L37" s="127"/>
      <c r="M37" s="127"/>
      <c r="N37" s="127"/>
    </row>
    <row r="38" spans="1:15" s="62" customFormat="1" ht="14.25" customHeight="1">
      <c r="A38" s="41" t="s">
        <v>326</v>
      </c>
      <c r="B38" s="43" t="s">
        <v>336</v>
      </c>
      <c r="C38" s="127">
        <f>267000+6000</f>
        <v>273000</v>
      </c>
      <c r="D38" s="127">
        <v>355000</v>
      </c>
      <c r="E38" s="127">
        <f>40000+5000+47378+37000+437000</f>
        <v>566378</v>
      </c>
      <c r="F38" s="127">
        <f>37038+35000+437000</f>
        <v>509038</v>
      </c>
      <c r="G38" s="127">
        <f>14236+32000+437000</f>
        <v>483236</v>
      </c>
      <c r="H38" s="198">
        <f>16000+437000</f>
        <v>453000</v>
      </c>
      <c r="I38" s="198">
        <f>5000+437000</f>
        <v>442000</v>
      </c>
      <c r="J38" s="198">
        <v>317000</v>
      </c>
      <c r="K38" s="198">
        <v>197000</v>
      </c>
      <c r="L38" s="66">
        <v>77000</v>
      </c>
      <c r="M38" s="66">
        <v>77000</v>
      </c>
      <c r="N38" s="66">
        <v>77000</v>
      </c>
      <c r="O38"/>
    </row>
    <row r="39" spans="1:14" s="40" customFormat="1" ht="22.5" customHeight="1">
      <c r="A39" s="38" t="s">
        <v>188</v>
      </c>
      <c r="B39" s="50" t="s">
        <v>283</v>
      </c>
      <c r="C39" s="283">
        <v>48993479</v>
      </c>
      <c r="D39" s="118">
        <f>1!E155</f>
        <v>61507045</v>
      </c>
      <c r="E39" s="118">
        <f aca="true" t="shared" si="10" ref="E39:N39">ROUND(D39+(D39*5%),-3)</f>
        <v>64582000</v>
      </c>
      <c r="F39" s="118">
        <f t="shared" si="10"/>
        <v>67811000</v>
      </c>
      <c r="G39" s="118">
        <f t="shared" si="10"/>
        <v>71202000</v>
      </c>
      <c r="H39" s="118">
        <f t="shared" si="10"/>
        <v>74762000</v>
      </c>
      <c r="I39" s="118">
        <f t="shared" si="10"/>
        <v>78500000</v>
      </c>
      <c r="J39" s="118">
        <f t="shared" si="10"/>
        <v>82425000</v>
      </c>
      <c r="K39" s="118">
        <f t="shared" si="10"/>
        <v>86546000</v>
      </c>
      <c r="L39" s="118">
        <f t="shared" si="10"/>
        <v>90873000</v>
      </c>
      <c r="M39" s="118">
        <f t="shared" si="10"/>
        <v>95417000</v>
      </c>
      <c r="N39" s="118">
        <f t="shared" si="10"/>
        <v>100188000</v>
      </c>
    </row>
    <row r="40" spans="1:14" s="58" customFormat="1" ht="22.5" customHeight="1">
      <c r="A40" s="38" t="s">
        <v>176</v>
      </c>
      <c r="B40" s="50" t="s">
        <v>300</v>
      </c>
      <c r="C40" s="118">
        <v>50261239</v>
      </c>
      <c r="D40" s="118">
        <f>2!E674</f>
        <v>67342845</v>
      </c>
      <c r="E40" s="118">
        <f>ROUND(D40+(D40*4%)-13056000+2616000,-3)</f>
        <v>59597000</v>
      </c>
      <c r="F40" s="118">
        <f>F39+2464000</f>
        <v>70275000</v>
      </c>
      <c r="G40" s="118">
        <f>ROUND(F40+(F40*4%)-2464000,-3)</f>
        <v>70622000</v>
      </c>
      <c r="H40" s="118">
        <f aca="true" t="shared" si="11" ref="H40:N40">ROUND(G40+(G40*4%),-3)</f>
        <v>73447000</v>
      </c>
      <c r="I40" s="118">
        <f t="shared" si="11"/>
        <v>76385000</v>
      </c>
      <c r="J40" s="118">
        <f t="shared" si="11"/>
        <v>79440000</v>
      </c>
      <c r="K40" s="118">
        <f t="shared" si="11"/>
        <v>82618000</v>
      </c>
      <c r="L40" s="118">
        <f t="shared" si="11"/>
        <v>85923000</v>
      </c>
      <c r="M40" s="118">
        <f t="shared" si="11"/>
        <v>89360000</v>
      </c>
      <c r="N40" s="118">
        <f t="shared" si="11"/>
        <v>92934000</v>
      </c>
    </row>
    <row r="41" spans="1:14" s="58" customFormat="1" ht="22.5" customHeight="1">
      <c r="A41" s="38" t="s">
        <v>193</v>
      </c>
      <c r="B41" s="50" t="s">
        <v>301</v>
      </c>
      <c r="C41" s="118">
        <f>C39-C40</f>
        <v>-1267760</v>
      </c>
      <c r="D41" s="118">
        <f aca="true" t="shared" si="12" ref="D41:I41">D39-D40</f>
        <v>-5835800</v>
      </c>
      <c r="E41" s="118">
        <f t="shared" si="12"/>
        <v>4985000</v>
      </c>
      <c r="F41" s="118">
        <f t="shared" si="12"/>
        <v>-2464000</v>
      </c>
      <c r="G41" s="118">
        <f t="shared" si="12"/>
        <v>580000</v>
      </c>
      <c r="H41" s="118">
        <f t="shared" si="12"/>
        <v>1315000</v>
      </c>
      <c r="I41" s="118">
        <f t="shared" si="12"/>
        <v>2115000</v>
      </c>
      <c r="J41" s="118">
        <f>J39-J40</f>
        <v>2985000</v>
      </c>
      <c r="K41" s="118">
        <f>K39-K40</f>
        <v>3928000</v>
      </c>
      <c r="L41" s="118">
        <f>L39-L40</f>
        <v>4950000</v>
      </c>
      <c r="M41" s="118">
        <f>M39-M40</f>
        <v>6057000</v>
      </c>
      <c r="N41" s="118">
        <f>N39-N40</f>
        <v>7254000</v>
      </c>
    </row>
    <row r="42" spans="1:14" s="40" customFormat="1" ht="22.5" customHeight="1">
      <c r="A42" s="38" t="s">
        <v>196</v>
      </c>
      <c r="B42" s="50" t="s">
        <v>284</v>
      </c>
      <c r="C42" s="118"/>
      <c r="D42" s="118"/>
      <c r="E42" s="118"/>
      <c r="F42" s="118"/>
      <c r="G42" s="118"/>
      <c r="H42" s="118"/>
      <c r="I42" s="118"/>
      <c r="J42" s="118"/>
      <c r="K42" s="118"/>
      <c r="L42" s="118"/>
      <c r="M42" s="118"/>
      <c r="N42" s="118"/>
    </row>
    <row r="43" spans="1:14" s="39" customFormat="1" ht="15" customHeight="1">
      <c r="A43" s="41" t="s">
        <v>341</v>
      </c>
      <c r="B43" s="42" t="s">
        <v>640</v>
      </c>
      <c r="C43" s="128">
        <f aca="true" t="shared" si="13" ref="C43:N43">(C7-C22)/C39</f>
        <v>0.08371146698931096</v>
      </c>
      <c r="D43" s="128">
        <f t="shared" si="13"/>
        <v>0.1376479068373387</v>
      </c>
      <c r="E43" s="128">
        <f t="shared" si="13"/>
        <v>0.030581276516676473</v>
      </c>
      <c r="F43" s="128">
        <f t="shared" si="13"/>
        <v>0.02212030496527112</v>
      </c>
      <c r="G43" s="128">
        <f t="shared" si="13"/>
        <v>0.014395663043172944</v>
      </c>
      <c r="H43" s="128">
        <f t="shared" si="13"/>
        <v>0</v>
      </c>
      <c r="I43" s="128">
        <f t="shared" si="13"/>
        <v>0</v>
      </c>
      <c r="J43" s="128">
        <f t="shared" si="13"/>
        <v>0</v>
      </c>
      <c r="K43" s="128">
        <f t="shared" si="13"/>
        <v>0</v>
      </c>
      <c r="L43" s="128">
        <f t="shared" si="13"/>
        <v>0</v>
      </c>
      <c r="M43" s="128">
        <f t="shared" si="13"/>
        <v>0</v>
      </c>
      <c r="N43" s="128">
        <f t="shared" si="13"/>
        <v>0</v>
      </c>
    </row>
    <row r="44" spans="1:14" s="39" customFormat="1" ht="28.5" customHeight="1">
      <c r="A44" s="41" t="s">
        <v>342</v>
      </c>
      <c r="B44" s="42" t="s">
        <v>639</v>
      </c>
      <c r="C44" s="128">
        <f aca="true" t="shared" si="14" ref="C44:N44">(C8+C18)/C39</f>
        <v>0.08371146698931096</v>
      </c>
      <c r="D44" s="128">
        <f t="shared" si="14"/>
        <v>0.1376479068373387</v>
      </c>
      <c r="E44" s="128">
        <f t="shared" si="14"/>
        <v>0.030581276516676473</v>
      </c>
      <c r="F44" s="128">
        <f t="shared" si="14"/>
        <v>0.02212030496527112</v>
      </c>
      <c r="G44" s="128">
        <f t="shared" si="14"/>
        <v>0.014395663043172944</v>
      </c>
      <c r="H44" s="128">
        <f t="shared" si="14"/>
        <v>0</v>
      </c>
      <c r="I44" s="128">
        <f t="shared" si="14"/>
        <v>0</v>
      </c>
      <c r="J44" s="128">
        <f t="shared" si="14"/>
        <v>0</v>
      </c>
      <c r="K44" s="128">
        <f t="shared" si="14"/>
        <v>0</v>
      </c>
      <c r="L44" s="128">
        <f t="shared" si="14"/>
        <v>0</v>
      </c>
      <c r="M44" s="128">
        <f t="shared" si="14"/>
        <v>0</v>
      </c>
      <c r="N44" s="128">
        <f t="shared" si="14"/>
        <v>0</v>
      </c>
    </row>
    <row r="45" spans="1:14" s="39" customFormat="1" ht="15" customHeight="1">
      <c r="A45" s="41" t="s">
        <v>343</v>
      </c>
      <c r="B45" s="42" t="s">
        <v>352</v>
      </c>
      <c r="C45" s="128">
        <f aca="true" t="shared" si="15" ref="C45:N45">C25/C39</f>
        <v>0.04655399139954931</v>
      </c>
      <c r="D45" s="128">
        <f t="shared" si="15"/>
        <v>0.025688114263983906</v>
      </c>
      <c r="E45" s="128">
        <f t="shared" si="15"/>
        <v>0.02830036233006101</v>
      </c>
      <c r="F45" s="128">
        <f t="shared" si="15"/>
        <v>0.01808022297267405</v>
      </c>
      <c r="G45" s="128">
        <f t="shared" si="15"/>
        <v>0.01688486278475324</v>
      </c>
      <c r="H45" s="128">
        <f t="shared" si="15"/>
        <v>0.023059843235868488</v>
      </c>
      <c r="I45" s="128">
        <f t="shared" si="15"/>
        <v>0.027898089171974522</v>
      </c>
      <c r="J45" s="128">
        <f t="shared" si="15"/>
        <v>0.02507734303912648</v>
      </c>
      <c r="K45" s="128">
        <f t="shared" si="15"/>
        <v>0.02253137060060546</v>
      </c>
      <c r="L45" s="128">
        <f t="shared" si="15"/>
        <v>0.024264633059324553</v>
      </c>
      <c r="M45" s="128">
        <f t="shared" si="15"/>
        <v>0.02244882987308341</v>
      </c>
      <c r="N45" s="128">
        <f t="shared" si="15"/>
        <v>0.01045035333572883</v>
      </c>
    </row>
    <row r="46" spans="1:14" s="39" customFormat="1" ht="25.5" customHeight="1">
      <c r="A46" s="41" t="s">
        <v>344</v>
      </c>
      <c r="B46" s="42" t="s">
        <v>353</v>
      </c>
      <c r="C46" s="128">
        <f>(C26+C38)/C39</f>
        <v>0.04655399139954931</v>
      </c>
      <c r="D46" s="128">
        <f>(D26+D38)/D39</f>
        <v>0.025688114263983906</v>
      </c>
      <c r="E46" s="128">
        <f aca="true" t="shared" si="16" ref="E46:N46">(E26+D38)/E39</f>
        <v>0.025027345080672635</v>
      </c>
      <c r="F46" s="128">
        <f t="shared" si="16"/>
        <v>0.01892580849714648</v>
      </c>
      <c r="G46" s="128">
        <f t="shared" si="16"/>
        <v>0.017247240246060502</v>
      </c>
      <c r="H46" s="128">
        <f t="shared" si="16"/>
        <v>0.023464273293919372</v>
      </c>
      <c r="I46" s="128">
        <f t="shared" si="16"/>
        <v>0.028038216560509553</v>
      </c>
      <c r="J46" s="128">
        <f t="shared" si="16"/>
        <v>0.02659387321807704</v>
      </c>
      <c r="K46" s="128">
        <f t="shared" si="16"/>
        <v>0.02391791648371964</v>
      </c>
      <c r="L46" s="128">
        <f t="shared" si="16"/>
        <v>0.02558515730745106</v>
      </c>
      <c r="M46" s="128">
        <f t="shared" si="16"/>
        <v>0.02244882987308341</v>
      </c>
      <c r="N46" s="128">
        <f t="shared" si="16"/>
        <v>0.01045035333572883</v>
      </c>
    </row>
    <row r="48" spans="4:14" ht="12.75">
      <c r="D48" s="66" t="s">
        <v>54</v>
      </c>
      <c r="E48" s="66">
        <v>5470000</v>
      </c>
      <c r="F48" s="66">
        <v>5470000</v>
      </c>
      <c r="G48" s="66">
        <v>5470000</v>
      </c>
      <c r="H48" s="66">
        <v>5470000</v>
      </c>
      <c r="I48" s="66">
        <v>5470000</v>
      </c>
      <c r="J48" s="66">
        <v>3970000</v>
      </c>
      <c r="K48" s="66">
        <v>2470000</v>
      </c>
      <c r="L48" s="66">
        <v>970000</v>
      </c>
      <c r="M48" s="66">
        <v>970000</v>
      </c>
      <c r="N48" s="66">
        <v>0</v>
      </c>
    </row>
    <row r="49" spans="4:14" ht="12.75">
      <c r="D49" s="66"/>
      <c r="E49" s="66"/>
      <c r="F49" s="66"/>
      <c r="G49" s="66"/>
      <c r="H49" s="66"/>
      <c r="I49" s="66"/>
      <c r="J49" s="66"/>
      <c r="K49" s="66"/>
      <c r="L49" s="66"/>
      <c r="M49" s="66"/>
      <c r="N49" s="66"/>
    </row>
    <row r="50" spans="4:14" ht="12.75">
      <c r="D50" s="66" t="s">
        <v>27</v>
      </c>
      <c r="E50" s="66">
        <v>2010</v>
      </c>
      <c r="F50" s="66">
        <v>2011</v>
      </c>
      <c r="G50" s="66">
        <v>2012</v>
      </c>
      <c r="H50" s="66">
        <v>2013</v>
      </c>
      <c r="I50" s="66">
        <v>2014</v>
      </c>
      <c r="J50" s="66">
        <v>2015</v>
      </c>
      <c r="K50" s="66">
        <v>2016</v>
      </c>
      <c r="L50" s="66">
        <v>2017</v>
      </c>
      <c r="M50" s="66">
        <v>2018</v>
      </c>
      <c r="N50" s="66">
        <v>2019</v>
      </c>
    </row>
    <row r="51" spans="4:14" ht="12.75">
      <c r="D51" s="66"/>
      <c r="E51" s="66"/>
      <c r="F51" s="66"/>
      <c r="G51" s="66"/>
      <c r="H51" s="66"/>
      <c r="I51" s="66"/>
      <c r="J51" s="66"/>
      <c r="K51" s="66"/>
      <c r="L51" s="66"/>
      <c r="M51" s="66"/>
      <c r="N51" s="66"/>
    </row>
    <row r="52" spans="4:15" ht="12.75">
      <c r="D52" s="389" t="s">
        <v>55</v>
      </c>
      <c r="E52" s="66">
        <v>437000</v>
      </c>
      <c r="F52" s="66">
        <f>437000</f>
        <v>437000</v>
      </c>
      <c r="G52" s="66">
        <v>437000</v>
      </c>
      <c r="H52" s="66">
        <v>437000</v>
      </c>
      <c r="I52" s="66">
        <v>437000</v>
      </c>
      <c r="J52" s="66">
        <v>317000</v>
      </c>
      <c r="K52" s="66">
        <v>197000</v>
      </c>
      <c r="L52" s="66">
        <v>77000</v>
      </c>
      <c r="M52" s="66">
        <v>77000</v>
      </c>
      <c r="N52" s="66">
        <v>77000</v>
      </c>
      <c r="O52">
        <f>SUM(E52:N52)</f>
        <v>2930000</v>
      </c>
    </row>
  </sheetData>
  <sheetProtection/>
  <mergeCells count="5">
    <mergeCell ref="A1:H1"/>
    <mergeCell ref="A4:A5"/>
    <mergeCell ref="B4:B5"/>
    <mergeCell ref="C4:C5"/>
    <mergeCell ref="D4:H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Q681"/>
  <sheetViews>
    <sheetView tabSelected="1" zoomScale="75" zoomScaleNormal="75" zoomScalePageLayoutView="0" workbookViewId="0" topLeftCell="H662">
      <selection activeCell="I665" sqref="I665"/>
    </sheetView>
  </sheetViews>
  <sheetFormatPr defaultColWidth="9.00390625" defaultRowHeight="12.75"/>
  <cols>
    <col min="1" max="1" width="7.75390625" style="249" customWidth="1"/>
    <col min="2" max="2" width="12.625" style="249" bestFit="1" customWidth="1"/>
    <col min="3" max="3" width="7.625" style="249" bestFit="1" customWidth="1"/>
    <col min="4" max="4" width="26.375" style="249" customWidth="1"/>
    <col min="5" max="5" width="15.625" style="287" bestFit="1" customWidth="1"/>
    <col min="6" max="6" width="16.75390625" style="287" customWidth="1"/>
    <col min="7" max="7" width="11.25390625" style="287" customWidth="1"/>
    <col min="8" max="8" width="13.00390625" style="287" customWidth="1"/>
    <col min="9" max="9" width="12.875" style="287" customWidth="1"/>
    <col min="10" max="10" width="13.875" style="287" customWidth="1"/>
    <col min="11" max="11" width="11.875" style="287" customWidth="1"/>
    <col min="12" max="12" width="18.125" style="287" customWidth="1"/>
    <col min="13" max="13" width="15.125" style="287" customWidth="1"/>
    <col min="14" max="14" width="17.125" style="287" customWidth="1"/>
    <col min="15" max="15" width="9.125" style="284" customWidth="1"/>
    <col min="16" max="16" width="10.75390625" style="284" bestFit="1" customWidth="1"/>
    <col min="17" max="17" width="9.125" style="284" customWidth="1"/>
    <col min="18" max="18" width="11.00390625" style="284" bestFit="1" customWidth="1"/>
    <col min="19" max="16384" width="9.125" style="284" customWidth="1"/>
  </cols>
  <sheetData>
    <row r="1" spans="1:14" ht="98.25" customHeight="1">
      <c r="A1" s="399" t="s">
        <v>667</v>
      </c>
      <c r="B1" s="399"/>
      <c r="C1" s="399"/>
      <c r="D1" s="399"/>
      <c r="E1" s="399"/>
      <c r="F1" s="399"/>
      <c r="G1" s="399"/>
      <c r="H1" s="399"/>
      <c r="I1" s="399"/>
      <c r="J1" s="399"/>
      <c r="K1" s="399"/>
      <c r="L1" s="399"/>
      <c r="M1" s="399"/>
      <c r="N1" s="399"/>
    </row>
    <row r="2" spans="1:8" ht="12.75">
      <c r="A2" s="285"/>
      <c r="B2" s="285"/>
      <c r="C2" s="285"/>
      <c r="D2" s="285"/>
      <c r="E2" s="286"/>
      <c r="F2" s="286"/>
      <c r="G2" s="286"/>
      <c r="H2" s="286"/>
    </row>
    <row r="3" spans="1:14" ht="12.75">
      <c r="A3" s="285"/>
      <c r="B3" s="285"/>
      <c r="C3" s="285"/>
      <c r="D3" s="285"/>
      <c r="E3" s="286"/>
      <c r="F3" s="286"/>
      <c r="N3" s="288" t="s">
        <v>231</v>
      </c>
    </row>
    <row r="4" spans="1:14" s="39" customFormat="1" ht="12.75">
      <c r="A4" s="403" t="s">
        <v>177</v>
      </c>
      <c r="B4" s="403" t="s">
        <v>178</v>
      </c>
      <c r="C4" s="403" t="s">
        <v>179</v>
      </c>
      <c r="D4" s="403" t="s">
        <v>192</v>
      </c>
      <c r="E4" s="402" t="s">
        <v>668</v>
      </c>
      <c r="F4" s="402" t="s">
        <v>251</v>
      </c>
      <c r="G4" s="402"/>
      <c r="H4" s="402"/>
      <c r="I4" s="402"/>
      <c r="J4" s="402"/>
      <c r="K4" s="402"/>
      <c r="L4" s="402"/>
      <c r="M4" s="402"/>
      <c r="N4" s="402"/>
    </row>
    <row r="5" spans="1:14" s="39" customFormat="1" ht="12.75">
      <c r="A5" s="403"/>
      <c r="B5" s="403"/>
      <c r="C5" s="403"/>
      <c r="D5" s="403"/>
      <c r="E5" s="402"/>
      <c r="F5" s="402" t="s">
        <v>212</v>
      </c>
      <c r="G5" s="402" t="s">
        <v>181</v>
      </c>
      <c r="H5" s="402"/>
      <c r="I5" s="402"/>
      <c r="J5" s="402"/>
      <c r="K5" s="402"/>
      <c r="L5" s="402"/>
      <c r="M5" s="402"/>
      <c r="N5" s="402" t="s">
        <v>214</v>
      </c>
    </row>
    <row r="6" spans="1:14" s="39" customFormat="1" ht="89.25">
      <c r="A6" s="403"/>
      <c r="B6" s="403"/>
      <c r="C6" s="403"/>
      <c r="D6" s="403"/>
      <c r="E6" s="402"/>
      <c r="F6" s="402"/>
      <c r="G6" s="289" t="s">
        <v>275</v>
      </c>
      <c r="H6" s="289" t="s">
        <v>517</v>
      </c>
      <c r="I6" s="289" t="s">
        <v>356</v>
      </c>
      <c r="J6" s="289" t="s">
        <v>273</v>
      </c>
      <c r="K6" s="289" t="s">
        <v>304</v>
      </c>
      <c r="L6" s="289" t="s">
        <v>385</v>
      </c>
      <c r="M6" s="289" t="s">
        <v>516</v>
      </c>
      <c r="N6" s="402"/>
    </row>
    <row r="7" spans="1:14" s="39" customFormat="1" ht="12.75">
      <c r="A7" s="548">
        <v>1</v>
      </c>
      <c r="B7" s="548">
        <v>2</v>
      </c>
      <c r="C7" s="548">
        <v>3</v>
      </c>
      <c r="D7" s="548">
        <v>4</v>
      </c>
      <c r="E7" s="549">
        <v>5</v>
      </c>
      <c r="F7" s="549">
        <v>6</v>
      </c>
      <c r="G7" s="549">
        <v>7</v>
      </c>
      <c r="H7" s="549">
        <v>8</v>
      </c>
      <c r="I7" s="549">
        <v>9</v>
      </c>
      <c r="J7" s="549">
        <v>10</v>
      </c>
      <c r="K7" s="549">
        <v>11</v>
      </c>
      <c r="L7" s="549">
        <v>12</v>
      </c>
      <c r="M7" s="549">
        <v>13</v>
      </c>
      <c r="N7" s="549">
        <v>14</v>
      </c>
    </row>
    <row r="8" spans="1:14" s="294" customFormat="1" ht="25.5">
      <c r="A8" s="290" t="s">
        <v>358</v>
      </c>
      <c r="B8" s="290"/>
      <c r="C8" s="291"/>
      <c r="D8" s="292" t="s">
        <v>359</v>
      </c>
      <c r="E8" s="293">
        <f>F8+N8</f>
        <v>30000</v>
      </c>
      <c r="F8" s="293">
        <f aca="true" t="shared" si="0" ref="F8:F15">SUM(G8:M8)</f>
        <v>30000</v>
      </c>
      <c r="G8" s="293">
        <f>SUM(G9)</f>
        <v>0</v>
      </c>
      <c r="H8" s="293">
        <f aca="true" t="shared" si="1" ref="H8:M8">SUM(H9:H9)</f>
        <v>0</v>
      </c>
      <c r="I8" s="293">
        <f t="shared" si="1"/>
        <v>0</v>
      </c>
      <c r="J8" s="293">
        <f t="shared" si="1"/>
        <v>0</v>
      </c>
      <c r="K8" s="293">
        <f t="shared" si="1"/>
        <v>0</v>
      </c>
      <c r="L8" s="293">
        <f t="shared" si="1"/>
        <v>0</v>
      </c>
      <c r="M8" s="293">
        <f t="shared" si="1"/>
        <v>30000</v>
      </c>
      <c r="N8" s="293">
        <v>0</v>
      </c>
    </row>
    <row r="9" spans="1:14" s="62" customFormat="1" ht="38.25">
      <c r="A9" s="295"/>
      <c r="B9" s="295" t="s">
        <v>360</v>
      </c>
      <c r="C9" s="296"/>
      <c r="D9" s="297" t="s">
        <v>361</v>
      </c>
      <c r="E9" s="298">
        <f aca="true" t="shared" si="2" ref="E9:E76">F9+N9</f>
        <v>30000</v>
      </c>
      <c r="F9" s="298">
        <f t="shared" si="0"/>
        <v>30000</v>
      </c>
      <c r="G9" s="298">
        <f>SUM(G10)</f>
        <v>0</v>
      </c>
      <c r="H9" s="298">
        <f aca="true" t="shared" si="3" ref="H9:N9">SUM(H10)</f>
        <v>0</v>
      </c>
      <c r="I9" s="298">
        <f t="shared" si="3"/>
        <v>0</v>
      </c>
      <c r="J9" s="298">
        <f t="shared" si="3"/>
        <v>0</v>
      </c>
      <c r="K9" s="298">
        <f t="shared" si="3"/>
        <v>0</v>
      </c>
      <c r="L9" s="298">
        <f t="shared" si="3"/>
        <v>0</v>
      </c>
      <c r="M9" s="298">
        <f>SUM(M10)</f>
        <v>30000</v>
      </c>
      <c r="N9" s="298">
        <f t="shared" si="3"/>
        <v>0</v>
      </c>
    </row>
    <row r="10" spans="1:14" s="39" customFormat="1" ht="12.75">
      <c r="A10" s="299"/>
      <c r="B10" s="299"/>
      <c r="C10" s="300">
        <v>4300</v>
      </c>
      <c r="D10" s="301" t="s">
        <v>362</v>
      </c>
      <c r="E10" s="302">
        <f t="shared" si="2"/>
        <v>30000</v>
      </c>
      <c r="F10" s="302">
        <f t="shared" si="0"/>
        <v>30000</v>
      </c>
      <c r="G10" s="302"/>
      <c r="H10" s="302"/>
      <c r="I10" s="302"/>
      <c r="J10" s="302"/>
      <c r="K10" s="302"/>
      <c r="L10" s="302"/>
      <c r="M10" s="302">
        <v>30000</v>
      </c>
      <c r="N10" s="302"/>
    </row>
    <row r="11" spans="1:14" s="294" customFormat="1" ht="12.75">
      <c r="A11" s="290" t="s">
        <v>363</v>
      </c>
      <c r="B11" s="290"/>
      <c r="C11" s="291"/>
      <c r="D11" s="292" t="s">
        <v>364</v>
      </c>
      <c r="E11" s="293">
        <f t="shared" si="2"/>
        <v>322000</v>
      </c>
      <c r="F11" s="293">
        <f t="shared" si="0"/>
        <v>322000</v>
      </c>
      <c r="G11" s="293">
        <f>SUM(G12+G14)</f>
        <v>0</v>
      </c>
      <c r="H11" s="293">
        <f aca="true" t="shared" si="4" ref="H11:N11">H12+H14</f>
        <v>0</v>
      </c>
      <c r="I11" s="293">
        <f t="shared" si="4"/>
        <v>0</v>
      </c>
      <c r="J11" s="293">
        <f t="shared" si="4"/>
        <v>46000</v>
      </c>
      <c r="K11" s="293">
        <f t="shared" si="4"/>
        <v>0</v>
      </c>
      <c r="L11" s="293">
        <f t="shared" si="4"/>
        <v>0</v>
      </c>
      <c r="M11" s="293">
        <f t="shared" si="4"/>
        <v>276000</v>
      </c>
      <c r="N11" s="293">
        <f t="shared" si="4"/>
        <v>0</v>
      </c>
    </row>
    <row r="12" spans="1:14" s="62" customFormat="1" ht="12.75">
      <c r="A12" s="295"/>
      <c r="B12" s="295" t="s">
        <v>365</v>
      </c>
      <c r="C12" s="296"/>
      <c r="D12" s="297" t="s">
        <v>366</v>
      </c>
      <c r="E12" s="298">
        <f t="shared" si="2"/>
        <v>276000</v>
      </c>
      <c r="F12" s="298">
        <f t="shared" si="0"/>
        <v>276000</v>
      </c>
      <c r="G12" s="298">
        <f aca="true" t="shared" si="5" ref="G12:N12">SUM(G13)</f>
        <v>0</v>
      </c>
      <c r="H12" s="298">
        <f t="shared" si="5"/>
        <v>0</v>
      </c>
      <c r="I12" s="298">
        <f t="shared" si="5"/>
        <v>0</v>
      </c>
      <c r="J12" s="298">
        <f t="shared" si="5"/>
        <v>0</v>
      </c>
      <c r="K12" s="298">
        <f t="shared" si="5"/>
        <v>0</v>
      </c>
      <c r="L12" s="298">
        <f t="shared" si="5"/>
        <v>0</v>
      </c>
      <c r="M12" s="298">
        <f t="shared" si="5"/>
        <v>276000</v>
      </c>
      <c r="N12" s="298">
        <f t="shared" si="5"/>
        <v>0</v>
      </c>
    </row>
    <row r="13" spans="1:14" s="39" customFormat="1" ht="25.5">
      <c r="A13" s="303"/>
      <c r="B13" s="303"/>
      <c r="C13" s="304">
        <v>3030</v>
      </c>
      <c r="D13" s="305" t="s">
        <v>367</v>
      </c>
      <c r="E13" s="302">
        <f t="shared" si="2"/>
        <v>276000</v>
      </c>
      <c r="F13" s="302">
        <f t="shared" si="0"/>
        <v>276000</v>
      </c>
      <c r="G13" s="302"/>
      <c r="H13" s="302"/>
      <c r="I13" s="302"/>
      <c r="J13" s="302"/>
      <c r="K13" s="302"/>
      <c r="L13" s="302"/>
      <c r="M13" s="302">
        <v>276000</v>
      </c>
      <c r="N13" s="302"/>
    </row>
    <row r="14" spans="1:14" s="62" customFormat="1" ht="25.5">
      <c r="A14" s="295"/>
      <c r="B14" s="295" t="s">
        <v>368</v>
      </c>
      <c r="C14" s="296"/>
      <c r="D14" s="306" t="s">
        <v>369</v>
      </c>
      <c r="E14" s="298">
        <f t="shared" si="2"/>
        <v>46000</v>
      </c>
      <c r="F14" s="298">
        <f t="shared" si="0"/>
        <v>46000</v>
      </c>
      <c r="G14" s="298"/>
      <c r="H14" s="298">
        <f aca="true" t="shared" si="6" ref="H14:N14">SUM(H15)</f>
        <v>0</v>
      </c>
      <c r="I14" s="298">
        <f t="shared" si="6"/>
        <v>0</v>
      </c>
      <c r="J14" s="298">
        <f t="shared" si="6"/>
        <v>46000</v>
      </c>
      <c r="K14" s="298">
        <f t="shared" si="6"/>
        <v>0</v>
      </c>
      <c r="L14" s="298">
        <f t="shared" si="6"/>
        <v>0</v>
      </c>
      <c r="M14" s="298">
        <f t="shared" si="6"/>
        <v>0</v>
      </c>
      <c r="N14" s="298">
        <f t="shared" si="6"/>
        <v>0</v>
      </c>
    </row>
    <row r="15" spans="1:14" s="39" customFormat="1" ht="96" customHeight="1">
      <c r="A15" s="299"/>
      <c r="B15" s="299"/>
      <c r="C15" s="300">
        <v>2830</v>
      </c>
      <c r="D15" s="301" t="s">
        <v>370</v>
      </c>
      <c r="E15" s="302">
        <f t="shared" si="2"/>
        <v>46000</v>
      </c>
      <c r="F15" s="302">
        <f t="shared" si="0"/>
        <v>46000</v>
      </c>
      <c r="G15" s="302"/>
      <c r="H15" s="302"/>
      <c r="I15" s="302"/>
      <c r="J15" s="302">
        <v>46000</v>
      </c>
      <c r="K15" s="302"/>
      <c r="L15" s="302"/>
      <c r="M15" s="302"/>
      <c r="N15" s="302"/>
    </row>
    <row r="16" spans="1:14" s="294" customFormat="1" ht="12.75">
      <c r="A16" s="290">
        <v>600</v>
      </c>
      <c r="B16" s="290"/>
      <c r="C16" s="291"/>
      <c r="D16" s="307" t="s">
        <v>371</v>
      </c>
      <c r="E16" s="293">
        <f t="shared" si="2"/>
        <v>17275430</v>
      </c>
      <c r="F16" s="293">
        <f>SUM(G16:M16)</f>
        <v>2897430</v>
      </c>
      <c r="G16" s="293">
        <f>SUM(G17)</f>
        <v>635000</v>
      </c>
      <c r="H16" s="293">
        <f aca="true" t="shared" si="7" ref="H16:N16">SUM(H17)</f>
        <v>43200</v>
      </c>
      <c r="I16" s="293">
        <f t="shared" si="7"/>
        <v>123420</v>
      </c>
      <c r="J16" s="293">
        <f t="shared" si="7"/>
        <v>0</v>
      </c>
      <c r="K16" s="293">
        <f t="shared" si="7"/>
        <v>0</v>
      </c>
      <c r="L16" s="293">
        <f t="shared" si="7"/>
        <v>0</v>
      </c>
      <c r="M16" s="293">
        <f t="shared" si="7"/>
        <v>2095810</v>
      </c>
      <c r="N16" s="293">
        <f t="shared" si="7"/>
        <v>14378000</v>
      </c>
    </row>
    <row r="17" spans="1:14" s="62" customFormat="1" ht="12.75">
      <c r="A17" s="295"/>
      <c r="B17" s="295">
        <v>60014</v>
      </c>
      <c r="C17" s="296"/>
      <c r="D17" s="306" t="s">
        <v>372</v>
      </c>
      <c r="E17" s="298">
        <f t="shared" si="2"/>
        <v>17275430</v>
      </c>
      <c r="F17" s="298">
        <f>SUM(F18:F40)</f>
        <v>2897430</v>
      </c>
      <c r="G17" s="298">
        <f>SUM(G18:G43)</f>
        <v>635000</v>
      </c>
      <c r="H17" s="298">
        <f aca="true" t="shared" si="8" ref="H17:N17">SUM(H18:H43)</f>
        <v>43200</v>
      </c>
      <c r="I17" s="298">
        <f t="shared" si="8"/>
        <v>123420</v>
      </c>
      <c r="J17" s="298">
        <f t="shared" si="8"/>
        <v>0</v>
      </c>
      <c r="K17" s="298">
        <f t="shared" si="8"/>
        <v>0</v>
      </c>
      <c r="L17" s="298">
        <f t="shared" si="8"/>
        <v>0</v>
      </c>
      <c r="M17" s="298">
        <f t="shared" si="8"/>
        <v>2095810</v>
      </c>
      <c r="N17" s="298">
        <f t="shared" si="8"/>
        <v>14378000</v>
      </c>
    </row>
    <row r="18" spans="1:14" s="39" customFormat="1" ht="25.5">
      <c r="A18" s="290"/>
      <c r="B18" s="290"/>
      <c r="C18" s="300">
        <v>3020</v>
      </c>
      <c r="D18" s="301" t="s">
        <v>373</v>
      </c>
      <c r="E18" s="302">
        <f t="shared" si="2"/>
        <v>17000</v>
      </c>
      <c r="F18" s="302">
        <f aca="true" t="shared" si="9" ref="F18:F49">SUM(G18:M18)</f>
        <v>17000</v>
      </c>
      <c r="G18" s="302"/>
      <c r="H18" s="302"/>
      <c r="I18" s="302"/>
      <c r="J18" s="302"/>
      <c r="K18" s="302"/>
      <c r="L18" s="302"/>
      <c r="M18" s="302">
        <v>17000</v>
      </c>
      <c r="N18" s="302"/>
    </row>
    <row r="19" spans="1:14" s="39" customFormat="1" ht="25.5">
      <c r="A19" s="290"/>
      <c r="B19" s="290"/>
      <c r="C19" s="251">
        <v>4010</v>
      </c>
      <c r="D19" s="301" t="s">
        <v>374</v>
      </c>
      <c r="E19" s="302">
        <f t="shared" si="2"/>
        <v>635000</v>
      </c>
      <c r="F19" s="302">
        <f t="shared" si="9"/>
        <v>635000</v>
      </c>
      <c r="G19" s="302">
        <v>635000</v>
      </c>
      <c r="H19" s="302"/>
      <c r="I19" s="302"/>
      <c r="J19" s="302"/>
      <c r="K19" s="302"/>
      <c r="L19" s="302"/>
      <c r="M19" s="302"/>
      <c r="N19" s="302"/>
    </row>
    <row r="20" spans="1:14" s="39" customFormat="1" ht="25.5">
      <c r="A20" s="290"/>
      <c r="B20" s="290"/>
      <c r="C20" s="300">
        <v>4040</v>
      </c>
      <c r="D20" s="301" t="s">
        <v>375</v>
      </c>
      <c r="E20" s="302">
        <f t="shared" si="2"/>
        <v>43200</v>
      </c>
      <c r="F20" s="302">
        <f t="shared" si="9"/>
        <v>43200</v>
      </c>
      <c r="G20" s="302"/>
      <c r="H20" s="302">
        <v>43200</v>
      </c>
      <c r="I20" s="302"/>
      <c r="J20" s="302"/>
      <c r="K20" s="302"/>
      <c r="L20" s="302"/>
      <c r="M20" s="302"/>
      <c r="N20" s="302"/>
    </row>
    <row r="21" spans="1:14" s="39" customFormat="1" ht="25.5">
      <c r="A21" s="290"/>
      <c r="B21" s="290"/>
      <c r="C21" s="300">
        <v>4110</v>
      </c>
      <c r="D21" s="301" t="s">
        <v>376</v>
      </c>
      <c r="E21" s="302">
        <f t="shared" si="2"/>
        <v>106900</v>
      </c>
      <c r="F21" s="302">
        <f t="shared" si="9"/>
        <v>106900</v>
      </c>
      <c r="G21" s="302"/>
      <c r="H21" s="302"/>
      <c r="I21" s="302">
        <v>106900</v>
      </c>
      <c r="J21" s="302"/>
      <c r="K21" s="302"/>
      <c r="L21" s="302"/>
      <c r="M21" s="302"/>
      <c r="N21" s="302"/>
    </row>
    <row r="22" spans="1:14" s="39" customFormat="1" ht="12.75">
      <c r="A22" s="290"/>
      <c r="B22" s="290"/>
      <c r="C22" s="300">
        <v>4120</v>
      </c>
      <c r="D22" s="301" t="s">
        <v>377</v>
      </c>
      <c r="E22" s="302">
        <f t="shared" si="2"/>
        <v>16520</v>
      </c>
      <c r="F22" s="302">
        <f t="shared" si="9"/>
        <v>16520</v>
      </c>
      <c r="G22" s="302"/>
      <c r="H22" s="302"/>
      <c r="I22" s="302">
        <v>16520</v>
      </c>
      <c r="J22" s="302"/>
      <c r="K22" s="302"/>
      <c r="L22" s="302"/>
      <c r="M22" s="302"/>
      <c r="N22" s="302"/>
    </row>
    <row r="23" spans="1:14" s="39" customFormat="1" ht="30.75" customHeight="1">
      <c r="A23" s="290"/>
      <c r="B23" s="290"/>
      <c r="C23" s="300">
        <v>4170</v>
      </c>
      <c r="D23" s="301" t="s">
        <v>378</v>
      </c>
      <c r="E23" s="302">
        <f aca="true" t="shared" si="10" ref="E23:E39">F23+N23</f>
        <v>3800</v>
      </c>
      <c r="F23" s="302">
        <f t="shared" si="9"/>
        <v>3800</v>
      </c>
      <c r="G23" s="302"/>
      <c r="H23" s="302"/>
      <c r="I23" s="302"/>
      <c r="J23" s="302"/>
      <c r="K23" s="302"/>
      <c r="L23" s="302"/>
      <c r="M23" s="302">
        <v>3800</v>
      </c>
      <c r="N23" s="302"/>
    </row>
    <row r="24" spans="1:14" s="39" customFormat="1" ht="25.5">
      <c r="A24" s="290"/>
      <c r="B24" s="290"/>
      <c r="C24" s="300">
        <v>4210</v>
      </c>
      <c r="D24" s="301" t="s">
        <v>379</v>
      </c>
      <c r="E24" s="302">
        <f t="shared" si="10"/>
        <v>175680</v>
      </c>
      <c r="F24" s="302">
        <f t="shared" si="9"/>
        <v>175680</v>
      </c>
      <c r="G24" s="302"/>
      <c r="H24" s="302"/>
      <c r="I24" s="302"/>
      <c r="J24" s="302"/>
      <c r="K24" s="302"/>
      <c r="L24" s="302"/>
      <c r="M24" s="302">
        <v>175680</v>
      </c>
      <c r="N24" s="302"/>
    </row>
    <row r="25" spans="1:14" s="39" customFormat="1" ht="12.75">
      <c r="A25" s="290"/>
      <c r="B25" s="290"/>
      <c r="C25" s="300">
        <v>4260</v>
      </c>
      <c r="D25" s="301" t="s">
        <v>380</v>
      </c>
      <c r="E25" s="302">
        <f t="shared" si="10"/>
        <v>20600</v>
      </c>
      <c r="F25" s="302">
        <f t="shared" si="9"/>
        <v>20600</v>
      </c>
      <c r="G25" s="302"/>
      <c r="H25" s="302"/>
      <c r="I25" s="302"/>
      <c r="J25" s="302"/>
      <c r="K25" s="302"/>
      <c r="L25" s="302"/>
      <c r="M25" s="302">
        <v>20600</v>
      </c>
      <c r="N25" s="302"/>
    </row>
    <row r="26" spans="1:14" s="39" customFormat="1" ht="12.75">
      <c r="A26" s="290"/>
      <c r="B26" s="290"/>
      <c r="C26" s="300">
        <v>4270</v>
      </c>
      <c r="D26" s="301" t="s">
        <v>381</v>
      </c>
      <c r="E26" s="302">
        <f t="shared" si="10"/>
        <v>549000</v>
      </c>
      <c r="F26" s="302">
        <f t="shared" si="9"/>
        <v>549000</v>
      </c>
      <c r="G26" s="302"/>
      <c r="H26" s="302"/>
      <c r="I26" s="302"/>
      <c r="J26" s="302"/>
      <c r="K26" s="302"/>
      <c r="L26" s="302"/>
      <c r="M26" s="302">
        <v>549000</v>
      </c>
      <c r="N26" s="302"/>
    </row>
    <row r="27" spans="1:14" s="39" customFormat="1" ht="12.75">
      <c r="A27" s="290"/>
      <c r="B27" s="290"/>
      <c r="C27" s="300">
        <v>4280</v>
      </c>
      <c r="D27" s="301" t="s">
        <v>382</v>
      </c>
      <c r="E27" s="302">
        <f t="shared" si="10"/>
        <v>900</v>
      </c>
      <c r="F27" s="302">
        <f t="shared" si="9"/>
        <v>900</v>
      </c>
      <c r="G27" s="302"/>
      <c r="H27" s="302"/>
      <c r="I27" s="302"/>
      <c r="J27" s="302"/>
      <c r="K27" s="302"/>
      <c r="L27" s="302"/>
      <c r="M27" s="302">
        <v>900</v>
      </c>
      <c r="N27" s="302"/>
    </row>
    <row r="28" spans="1:14" s="39" customFormat="1" ht="12.75">
      <c r="A28" s="290"/>
      <c r="B28" s="290"/>
      <c r="C28" s="300">
        <v>4300</v>
      </c>
      <c r="D28" s="301" t="s">
        <v>362</v>
      </c>
      <c r="E28" s="302">
        <f t="shared" si="10"/>
        <v>1255000</v>
      </c>
      <c r="F28" s="302">
        <f t="shared" si="9"/>
        <v>1255000</v>
      </c>
      <c r="G28" s="302"/>
      <c r="H28" s="302"/>
      <c r="I28" s="302"/>
      <c r="J28" s="302"/>
      <c r="K28" s="302"/>
      <c r="L28" s="302"/>
      <c r="M28" s="302">
        <f>1125000+130000</f>
        <v>1255000</v>
      </c>
      <c r="N28" s="302"/>
    </row>
    <row r="29" spans="1:14" s="39" customFormat="1" ht="25.5">
      <c r="A29" s="290"/>
      <c r="B29" s="290"/>
      <c r="C29" s="300">
        <v>4350</v>
      </c>
      <c r="D29" s="301" t="s">
        <v>383</v>
      </c>
      <c r="E29" s="302">
        <f t="shared" si="10"/>
        <v>1500</v>
      </c>
      <c r="F29" s="302">
        <f t="shared" si="9"/>
        <v>1500</v>
      </c>
      <c r="G29" s="302"/>
      <c r="H29" s="302"/>
      <c r="I29" s="302"/>
      <c r="J29" s="302"/>
      <c r="K29" s="302"/>
      <c r="L29" s="302"/>
      <c r="M29" s="302">
        <v>1500</v>
      </c>
      <c r="N29" s="302"/>
    </row>
    <row r="30" spans="1:14" s="39" customFormat="1" ht="34.5" customHeight="1">
      <c r="A30" s="290"/>
      <c r="B30" s="290"/>
      <c r="C30" s="300">
        <v>4360</v>
      </c>
      <c r="D30" s="301" t="s">
        <v>610</v>
      </c>
      <c r="E30" s="302">
        <f t="shared" si="10"/>
        <v>6300</v>
      </c>
      <c r="F30" s="302">
        <f t="shared" si="9"/>
        <v>6300</v>
      </c>
      <c r="G30" s="302"/>
      <c r="H30" s="302"/>
      <c r="I30" s="302"/>
      <c r="J30" s="302"/>
      <c r="K30" s="302"/>
      <c r="L30" s="302"/>
      <c r="M30" s="302">
        <v>6300</v>
      </c>
      <c r="N30" s="302"/>
    </row>
    <row r="31" spans="1:14" s="39" customFormat="1" ht="34.5" customHeight="1">
      <c r="A31" s="290"/>
      <c r="B31" s="290"/>
      <c r="C31" s="300">
        <v>4370</v>
      </c>
      <c r="D31" s="301" t="s">
        <v>611</v>
      </c>
      <c r="E31" s="302">
        <f t="shared" si="10"/>
        <v>6000</v>
      </c>
      <c r="F31" s="302">
        <f t="shared" si="9"/>
        <v>6000</v>
      </c>
      <c r="G31" s="302"/>
      <c r="H31" s="302"/>
      <c r="I31" s="302"/>
      <c r="J31" s="302"/>
      <c r="K31" s="302"/>
      <c r="L31" s="302"/>
      <c r="M31" s="302">
        <v>6000</v>
      </c>
      <c r="N31" s="302"/>
    </row>
    <row r="32" spans="1:14" s="39" customFormat="1" ht="38.25">
      <c r="A32" s="290"/>
      <c r="B32" s="290"/>
      <c r="C32" s="300">
        <v>4390</v>
      </c>
      <c r="D32" s="301" t="s">
        <v>603</v>
      </c>
      <c r="E32" s="302">
        <f t="shared" si="10"/>
        <v>5000</v>
      </c>
      <c r="F32" s="302">
        <f t="shared" si="9"/>
        <v>5000</v>
      </c>
      <c r="G32" s="302"/>
      <c r="H32" s="302"/>
      <c r="I32" s="302"/>
      <c r="J32" s="302"/>
      <c r="K32" s="302"/>
      <c r="L32" s="302"/>
      <c r="M32" s="302">
        <v>5000</v>
      </c>
      <c r="N32" s="302"/>
    </row>
    <row r="33" spans="1:14" s="39" customFormat="1" ht="12.75">
      <c r="A33" s="290"/>
      <c r="B33" s="290"/>
      <c r="C33" s="300">
        <v>4410</v>
      </c>
      <c r="D33" s="301" t="s">
        <v>388</v>
      </c>
      <c r="E33" s="302">
        <f t="shared" si="10"/>
        <v>3700</v>
      </c>
      <c r="F33" s="302">
        <f t="shared" si="9"/>
        <v>3700</v>
      </c>
      <c r="G33" s="302"/>
      <c r="H33" s="302"/>
      <c r="I33" s="302"/>
      <c r="J33" s="302"/>
      <c r="K33" s="302"/>
      <c r="L33" s="302"/>
      <c r="M33" s="302">
        <v>3700</v>
      </c>
      <c r="N33" s="302"/>
    </row>
    <row r="34" spans="1:14" s="39" customFormat="1" ht="12.75">
      <c r="A34" s="290"/>
      <c r="B34" s="290"/>
      <c r="C34" s="300">
        <v>4430</v>
      </c>
      <c r="D34" s="301" t="s">
        <v>389</v>
      </c>
      <c r="E34" s="302">
        <f t="shared" si="10"/>
        <v>15000</v>
      </c>
      <c r="F34" s="302">
        <f t="shared" si="9"/>
        <v>15000</v>
      </c>
      <c r="G34" s="302"/>
      <c r="H34" s="302"/>
      <c r="I34" s="302"/>
      <c r="J34" s="302"/>
      <c r="K34" s="302"/>
      <c r="L34" s="302"/>
      <c r="M34" s="302">
        <v>15000</v>
      </c>
      <c r="N34" s="302"/>
    </row>
    <row r="35" spans="1:14" s="39" customFormat="1" ht="25.5">
      <c r="A35" s="290"/>
      <c r="B35" s="290"/>
      <c r="C35" s="300">
        <v>4440</v>
      </c>
      <c r="D35" s="301" t="s">
        <v>390</v>
      </c>
      <c r="E35" s="302">
        <f t="shared" si="10"/>
        <v>18330</v>
      </c>
      <c r="F35" s="302">
        <f t="shared" si="9"/>
        <v>18330</v>
      </c>
      <c r="G35" s="302"/>
      <c r="H35" s="302"/>
      <c r="I35" s="302"/>
      <c r="J35" s="302"/>
      <c r="K35" s="302"/>
      <c r="L35" s="302"/>
      <c r="M35" s="302">
        <v>18330</v>
      </c>
      <c r="N35" s="302"/>
    </row>
    <row r="36" spans="1:14" s="39" customFormat="1" ht="12.75">
      <c r="A36" s="290"/>
      <c r="B36" s="290"/>
      <c r="C36" s="300">
        <v>4480</v>
      </c>
      <c r="D36" s="301" t="s">
        <v>391</v>
      </c>
      <c r="E36" s="302">
        <f t="shared" si="10"/>
        <v>7000</v>
      </c>
      <c r="F36" s="302">
        <f t="shared" si="9"/>
        <v>7000</v>
      </c>
      <c r="G36" s="302"/>
      <c r="H36" s="302"/>
      <c r="I36" s="302"/>
      <c r="J36" s="302"/>
      <c r="K36" s="302"/>
      <c r="L36" s="302"/>
      <c r="M36" s="302">
        <v>7000</v>
      </c>
      <c r="N36" s="302"/>
    </row>
    <row r="37" spans="1:14" s="39" customFormat="1" ht="38.25">
      <c r="A37" s="290"/>
      <c r="B37" s="290"/>
      <c r="C37" s="300">
        <v>4700</v>
      </c>
      <c r="D37" s="301" t="s">
        <v>606</v>
      </c>
      <c r="E37" s="302">
        <f t="shared" si="10"/>
        <v>5000</v>
      </c>
      <c r="F37" s="302">
        <f t="shared" si="9"/>
        <v>5000</v>
      </c>
      <c r="G37" s="302"/>
      <c r="H37" s="302"/>
      <c r="I37" s="302"/>
      <c r="J37" s="302"/>
      <c r="K37" s="302"/>
      <c r="L37" s="302"/>
      <c r="M37" s="302">
        <v>5000</v>
      </c>
      <c r="N37" s="302"/>
    </row>
    <row r="38" spans="1:14" s="39" customFormat="1" ht="25.5">
      <c r="A38" s="290"/>
      <c r="B38" s="290"/>
      <c r="C38" s="300">
        <v>4740</v>
      </c>
      <c r="D38" s="301" t="s">
        <v>392</v>
      </c>
      <c r="E38" s="302">
        <f t="shared" si="10"/>
        <v>1000</v>
      </c>
      <c r="F38" s="302">
        <f t="shared" si="9"/>
        <v>1000</v>
      </c>
      <c r="G38" s="302"/>
      <c r="H38" s="302"/>
      <c r="I38" s="302"/>
      <c r="J38" s="302"/>
      <c r="K38" s="302"/>
      <c r="L38" s="302"/>
      <c r="M38" s="302">
        <v>1000</v>
      </c>
      <c r="N38" s="302"/>
    </row>
    <row r="39" spans="1:14" s="39" customFormat="1" ht="25.5">
      <c r="A39" s="290"/>
      <c r="B39" s="290"/>
      <c r="C39" s="300">
        <v>4750</v>
      </c>
      <c r="D39" s="301" t="s">
        <v>393</v>
      </c>
      <c r="E39" s="302">
        <f t="shared" si="10"/>
        <v>5000</v>
      </c>
      <c r="F39" s="302">
        <f t="shared" si="9"/>
        <v>5000</v>
      </c>
      <c r="G39" s="302"/>
      <c r="H39" s="302"/>
      <c r="I39" s="302"/>
      <c r="J39" s="302"/>
      <c r="K39" s="302"/>
      <c r="L39" s="302"/>
      <c r="M39" s="302">
        <v>5000</v>
      </c>
      <c r="N39" s="302"/>
    </row>
    <row r="40" spans="1:14" s="39" customFormat="1" ht="25.5">
      <c r="A40" s="290"/>
      <c r="B40" s="290"/>
      <c r="C40" s="251">
        <v>6050</v>
      </c>
      <c r="D40" s="308" t="s">
        <v>394</v>
      </c>
      <c r="E40" s="302">
        <f t="shared" si="2"/>
        <v>7190000</v>
      </c>
      <c r="F40" s="302">
        <f t="shared" si="9"/>
        <v>0</v>
      </c>
      <c r="G40" s="302"/>
      <c r="H40" s="302"/>
      <c r="I40" s="302"/>
      <c r="J40" s="302"/>
      <c r="K40" s="302"/>
      <c r="L40" s="302"/>
      <c r="M40" s="302"/>
      <c r="N40" s="302">
        <f>6750000+440000</f>
        <v>7190000</v>
      </c>
    </row>
    <row r="41" spans="1:14" s="39" customFormat="1" ht="25.5">
      <c r="A41" s="290"/>
      <c r="B41" s="290"/>
      <c r="C41" s="251">
        <v>6058</v>
      </c>
      <c r="D41" s="308" t="s">
        <v>394</v>
      </c>
      <c r="E41" s="302">
        <f>F41+N41</f>
        <v>3590340</v>
      </c>
      <c r="F41" s="302">
        <f t="shared" si="9"/>
        <v>0</v>
      </c>
      <c r="G41" s="302"/>
      <c r="H41" s="302"/>
      <c r="I41" s="302"/>
      <c r="J41" s="302"/>
      <c r="K41" s="302"/>
      <c r="L41" s="302"/>
      <c r="M41" s="302"/>
      <c r="N41" s="302">
        <f>3606000-15660</f>
        <v>3590340</v>
      </c>
    </row>
    <row r="42" spans="1:14" s="39" customFormat="1" ht="25.5">
      <c r="A42" s="290"/>
      <c r="B42" s="290"/>
      <c r="C42" s="251">
        <v>6059</v>
      </c>
      <c r="D42" s="308" t="s">
        <v>394</v>
      </c>
      <c r="E42" s="302">
        <f>F42+N42</f>
        <v>3597660</v>
      </c>
      <c r="F42" s="302">
        <f t="shared" si="9"/>
        <v>0</v>
      </c>
      <c r="G42" s="302"/>
      <c r="H42" s="302"/>
      <c r="I42" s="302"/>
      <c r="J42" s="302"/>
      <c r="K42" s="302"/>
      <c r="L42" s="302"/>
      <c r="M42" s="302"/>
      <c r="N42" s="302">
        <f>3609000-11340</f>
        <v>3597660</v>
      </c>
    </row>
    <row r="43" spans="1:14" s="39" customFormat="1" ht="38.25">
      <c r="A43" s="290"/>
      <c r="B43" s="290"/>
      <c r="C43" s="251">
        <v>6060</v>
      </c>
      <c r="D43" s="308" t="s">
        <v>120</v>
      </c>
      <c r="E43" s="302">
        <f>F43+N43</f>
        <v>0</v>
      </c>
      <c r="F43" s="302">
        <f t="shared" si="9"/>
        <v>0</v>
      </c>
      <c r="G43" s="302"/>
      <c r="H43" s="302"/>
      <c r="I43" s="302"/>
      <c r="J43" s="302"/>
      <c r="K43" s="302"/>
      <c r="L43" s="302"/>
      <c r="M43" s="302"/>
      <c r="N43" s="302"/>
    </row>
    <row r="44" spans="1:14" s="294" customFormat="1" ht="25.5">
      <c r="A44" s="290">
        <v>700</v>
      </c>
      <c r="B44" s="290"/>
      <c r="C44" s="291"/>
      <c r="D44" s="307" t="s">
        <v>395</v>
      </c>
      <c r="E44" s="293">
        <f t="shared" si="2"/>
        <v>256920</v>
      </c>
      <c r="F44" s="293">
        <f t="shared" si="9"/>
        <v>167920</v>
      </c>
      <c r="G44" s="293">
        <f aca="true" t="shared" si="11" ref="G44:N44">SUM(G45)</f>
        <v>0</v>
      </c>
      <c r="H44" s="293">
        <f t="shared" si="11"/>
        <v>0</v>
      </c>
      <c r="I44" s="293">
        <f t="shared" si="11"/>
        <v>0</v>
      </c>
      <c r="J44" s="293">
        <f t="shared" si="11"/>
        <v>0</v>
      </c>
      <c r="K44" s="293">
        <f t="shared" si="11"/>
        <v>0</v>
      </c>
      <c r="L44" s="293">
        <f t="shared" si="11"/>
        <v>0</v>
      </c>
      <c r="M44" s="293">
        <f t="shared" si="11"/>
        <v>167920</v>
      </c>
      <c r="N44" s="293">
        <f t="shared" si="11"/>
        <v>89000</v>
      </c>
    </row>
    <row r="45" spans="1:14" s="62" customFormat="1" ht="25.5">
      <c r="A45" s="295"/>
      <c r="B45" s="295">
        <v>70005</v>
      </c>
      <c r="C45" s="296"/>
      <c r="D45" s="306" t="s">
        <v>396</v>
      </c>
      <c r="E45" s="298">
        <f t="shared" si="2"/>
        <v>256920</v>
      </c>
      <c r="F45" s="298">
        <f t="shared" si="9"/>
        <v>167920</v>
      </c>
      <c r="G45" s="298">
        <f>SUM(G46:G56)</f>
        <v>0</v>
      </c>
      <c r="H45" s="298">
        <f aca="true" t="shared" si="12" ref="H45:N45">SUM(H46:H56)</f>
        <v>0</v>
      </c>
      <c r="I45" s="298">
        <f t="shared" si="12"/>
        <v>0</v>
      </c>
      <c r="J45" s="298">
        <f t="shared" si="12"/>
        <v>0</v>
      </c>
      <c r="K45" s="298">
        <f t="shared" si="12"/>
        <v>0</v>
      </c>
      <c r="L45" s="298">
        <f t="shared" si="12"/>
        <v>0</v>
      </c>
      <c r="M45" s="298">
        <f t="shared" si="12"/>
        <v>167920</v>
      </c>
      <c r="N45" s="298">
        <f t="shared" si="12"/>
        <v>89000</v>
      </c>
    </row>
    <row r="46" spans="1:14" s="39" customFormat="1" ht="12.75">
      <c r="A46" s="290"/>
      <c r="B46" s="290"/>
      <c r="C46" s="300">
        <v>4260</v>
      </c>
      <c r="D46" s="301" t="s">
        <v>380</v>
      </c>
      <c r="E46" s="302">
        <f t="shared" si="2"/>
        <v>7000</v>
      </c>
      <c r="F46" s="302">
        <f t="shared" si="9"/>
        <v>7000</v>
      </c>
      <c r="G46" s="302"/>
      <c r="H46" s="302"/>
      <c r="I46" s="302"/>
      <c r="J46" s="302"/>
      <c r="K46" s="302"/>
      <c r="L46" s="302"/>
      <c r="M46" s="302">
        <v>7000</v>
      </c>
      <c r="N46" s="302"/>
    </row>
    <row r="47" spans="1:14" s="39" customFormat="1" ht="12.75">
      <c r="A47" s="299"/>
      <c r="B47" s="299"/>
      <c r="C47" s="300">
        <v>4270</v>
      </c>
      <c r="D47" s="301" t="s">
        <v>397</v>
      </c>
      <c r="E47" s="302">
        <f t="shared" si="2"/>
        <v>3600</v>
      </c>
      <c r="F47" s="302">
        <f t="shared" si="9"/>
        <v>3600</v>
      </c>
      <c r="G47" s="302"/>
      <c r="H47" s="302"/>
      <c r="I47" s="302"/>
      <c r="J47" s="302"/>
      <c r="K47" s="302"/>
      <c r="L47" s="302"/>
      <c r="M47" s="302">
        <v>3600</v>
      </c>
      <c r="N47" s="302"/>
    </row>
    <row r="48" spans="1:14" s="39" customFormat="1" ht="12.75">
      <c r="A48" s="299"/>
      <c r="B48" s="299"/>
      <c r="C48" s="300">
        <v>4300</v>
      </c>
      <c r="D48" s="301" t="s">
        <v>362</v>
      </c>
      <c r="E48" s="302">
        <f t="shared" si="2"/>
        <v>8300</v>
      </c>
      <c r="F48" s="302">
        <f t="shared" si="9"/>
        <v>8300</v>
      </c>
      <c r="G48" s="302"/>
      <c r="H48" s="302"/>
      <c r="I48" s="302"/>
      <c r="J48" s="302"/>
      <c r="K48" s="302"/>
      <c r="L48" s="302"/>
      <c r="M48" s="302">
        <v>8300</v>
      </c>
      <c r="N48" s="302"/>
    </row>
    <row r="49" spans="1:14" s="39" customFormat="1" ht="38.25">
      <c r="A49" s="299"/>
      <c r="B49" s="299"/>
      <c r="C49" s="300">
        <v>4390</v>
      </c>
      <c r="D49" s="301" t="s">
        <v>603</v>
      </c>
      <c r="E49" s="302">
        <f t="shared" si="2"/>
        <v>81000</v>
      </c>
      <c r="F49" s="302">
        <f t="shared" si="9"/>
        <v>81000</v>
      </c>
      <c r="G49" s="302"/>
      <c r="H49" s="302"/>
      <c r="I49" s="302"/>
      <c r="J49" s="302"/>
      <c r="K49" s="302"/>
      <c r="L49" s="302"/>
      <c r="M49" s="302">
        <v>81000</v>
      </c>
      <c r="N49" s="302"/>
    </row>
    <row r="50" spans="1:14" s="39" customFormat="1" ht="12.75">
      <c r="A50" s="299"/>
      <c r="B50" s="299"/>
      <c r="C50" s="300">
        <v>4480</v>
      </c>
      <c r="D50" s="301" t="s">
        <v>391</v>
      </c>
      <c r="E50" s="302">
        <f t="shared" si="2"/>
        <v>1000</v>
      </c>
      <c r="F50" s="302">
        <f aca="true" t="shared" si="13" ref="F50:F76">SUM(G50:M50)</f>
        <v>1000</v>
      </c>
      <c r="G50" s="302"/>
      <c r="H50" s="302"/>
      <c r="I50" s="302"/>
      <c r="J50" s="302"/>
      <c r="K50" s="302"/>
      <c r="L50" s="302"/>
      <c r="M50" s="302">
        <v>1000</v>
      </c>
      <c r="N50" s="302"/>
    </row>
    <row r="51" spans="1:14" s="39" customFormat="1" ht="12.75" hidden="1">
      <c r="A51" s="299"/>
      <c r="B51" s="299"/>
      <c r="C51" s="300">
        <v>4580</v>
      </c>
      <c r="D51" s="301" t="s">
        <v>98</v>
      </c>
      <c r="E51" s="302">
        <f t="shared" si="2"/>
        <v>0</v>
      </c>
      <c r="F51" s="302">
        <f t="shared" si="13"/>
        <v>0</v>
      </c>
      <c r="G51" s="302"/>
      <c r="H51" s="302"/>
      <c r="I51" s="302"/>
      <c r="J51" s="302"/>
      <c r="K51" s="302"/>
      <c r="L51" s="302"/>
      <c r="M51" s="302"/>
      <c r="N51" s="302"/>
    </row>
    <row r="52" spans="1:14" s="39" customFormat="1" ht="38.25">
      <c r="A52" s="299"/>
      <c r="B52" s="299"/>
      <c r="C52" s="300">
        <v>4590</v>
      </c>
      <c r="D52" s="301" t="s">
        <v>170</v>
      </c>
      <c r="E52" s="302">
        <f>F52+N52</f>
        <v>65020</v>
      </c>
      <c r="F52" s="302">
        <f>SUM(G52:M52)</f>
        <v>65020</v>
      </c>
      <c r="G52" s="302"/>
      <c r="H52" s="302"/>
      <c r="I52" s="302"/>
      <c r="J52" s="302"/>
      <c r="K52" s="302"/>
      <c r="L52" s="302"/>
      <c r="M52" s="302">
        <f>39000+19020+7000</f>
        <v>65020</v>
      </c>
      <c r="N52" s="302"/>
    </row>
    <row r="53" spans="1:14" s="39" customFormat="1" ht="25.5">
      <c r="A53" s="299"/>
      <c r="B53" s="299"/>
      <c r="C53" s="300">
        <v>4610</v>
      </c>
      <c r="D53" s="309" t="s">
        <v>398</v>
      </c>
      <c r="E53" s="302">
        <f>F53+N53</f>
        <v>2000</v>
      </c>
      <c r="F53" s="302">
        <f>SUM(G53:M53)</f>
        <v>2000</v>
      </c>
      <c r="G53" s="302"/>
      <c r="H53" s="302"/>
      <c r="I53" s="302"/>
      <c r="J53" s="302"/>
      <c r="K53" s="302"/>
      <c r="L53" s="302"/>
      <c r="M53" s="302">
        <v>2000</v>
      </c>
      <c r="N53" s="302"/>
    </row>
    <row r="54" spans="1:14" s="39" customFormat="1" ht="25.5">
      <c r="A54" s="290"/>
      <c r="B54" s="290"/>
      <c r="C54" s="251">
        <v>6050</v>
      </c>
      <c r="D54" s="308" t="s">
        <v>394</v>
      </c>
      <c r="E54" s="302">
        <f>F54+N54</f>
        <v>80000</v>
      </c>
      <c r="F54" s="302">
        <f>SUM(G54:M54)</f>
        <v>0</v>
      </c>
      <c r="G54" s="302"/>
      <c r="H54" s="302"/>
      <c r="I54" s="302"/>
      <c r="J54" s="302"/>
      <c r="K54" s="302"/>
      <c r="L54" s="302"/>
      <c r="M54" s="302"/>
      <c r="N54" s="302">
        <v>80000</v>
      </c>
    </row>
    <row r="55" spans="1:14" s="39" customFormat="1" ht="38.25">
      <c r="A55" s="290"/>
      <c r="B55" s="290"/>
      <c r="C55" s="251">
        <v>6060</v>
      </c>
      <c r="D55" s="397" t="s">
        <v>76</v>
      </c>
      <c r="E55" s="302">
        <f>F55+N55</f>
        <v>9000</v>
      </c>
      <c r="F55" s="302">
        <f>SUM(G55:M55)</f>
        <v>0</v>
      </c>
      <c r="G55" s="302"/>
      <c r="H55" s="302"/>
      <c r="I55" s="302"/>
      <c r="J55" s="302"/>
      <c r="K55" s="302"/>
      <c r="L55" s="302"/>
      <c r="M55" s="302"/>
      <c r="N55" s="302">
        <v>9000</v>
      </c>
    </row>
    <row r="56" spans="1:14" s="39" customFormat="1" ht="38.25" hidden="1">
      <c r="A56" s="290"/>
      <c r="B56" s="290"/>
      <c r="C56" s="251">
        <v>6060</v>
      </c>
      <c r="D56" s="308" t="s">
        <v>146</v>
      </c>
      <c r="E56" s="302">
        <f>F56+N56</f>
        <v>0</v>
      </c>
      <c r="F56" s="302">
        <f>SUM(G56:M56)</f>
        <v>0</v>
      </c>
      <c r="G56" s="302"/>
      <c r="H56" s="302"/>
      <c r="I56" s="302"/>
      <c r="J56" s="302"/>
      <c r="K56" s="302"/>
      <c r="L56" s="302"/>
      <c r="M56" s="302"/>
      <c r="N56" s="302"/>
    </row>
    <row r="57" spans="1:14" s="294" customFormat="1" ht="12.75">
      <c r="A57" s="290">
        <v>710</v>
      </c>
      <c r="B57" s="290"/>
      <c r="C57" s="291"/>
      <c r="D57" s="307" t="s">
        <v>409</v>
      </c>
      <c r="E57" s="293">
        <f t="shared" si="2"/>
        <v>617800</v>
      </c>
      <c r="F57" s="293">
        <f t="shared" si="13"/>
        <v>617800</v>
      </c>
      <c r="G57" s="293">
        <f aca="true" t="shared" si="14" ref="G57:N57">SUM(G58+G60+G62+G86)</f>
        <v>331200</v>
      </c>
      <c r="H57" s="293">
        <f t="shared" si="14"/>
        <v>25000</v>
      </c>
      <c r="I57" s="293">
        <f t="shared" si="14"/>
        <v>66400</v>
      </c>
      <c r="J57" s="293">
        <f t="shared" si="14"/>
        <v>0</v>
      </c>
      <c r="K57" s="293">
        <f t="shared" si="14"/>
        <v>0</v>
      </c>
      <c r="L57" s="293">
        <f t="shared" si="14"/>
        <v>0</v>
      </c>
      <c r="M57" s="293">
        <f t="shared" si="14"/>
        <v>195200</v>
      </c>
      <c r="N57" s="293">
        <f t="shared" si="14"/>
        <v>0</v>
      </c>
    </row>
    <row r="58" spans="1:14" s="62" customFormat="1" ht="25.5">
      <c r="A58" s="295"/>
      <c r="B58" s="295">
        <v>71013</v>
      </c>
      <c r="C58" s="296"/>
      <c r="D58" s="306" t="s">
        <v>410</v>
      </c>
      <c r="E58" s="298">
        <f t="shared" si="2"/>
        <v>70000</v>
      </c>
      <c r="F58" s="298">
        <f t="shared" si="13"/>
        <v>70000</v>
      </c>
      <c r="G58" s="298">
        <f aca="true" t="shared" si="15" ref="G58:N58">SUM(G59)</f>
        <v>0</v>
      </c>
      <c r="H58" s="298">
        <f t="shared" si="15"/>
        <v>0</v>
      </c>
      <c r="I58" s="298">
        <f t="shared" si="15"/>
        <v>0</v>
      </c>
      <c r="J58" s="298">
        <f t="shared" si="15"/>
        <v>0</v>
      </c>
      <c r="K58" s="298">
        <f t="shared" si="15"/>
        <v>0</v>
      </c>
      <c r="L58" s="298">
        <f t="shared" si="15"/>
        <v>0</v>
      </c>
      <c r="M58" s="298">
        <f t="shared" si="15"/>
        <v>70000</v>
      </c>
      <c r="N58" s="298">
        <f t="shared" si="15"/>
        <v>0</v>
      </c>
    </row>
    <row r="59" spans="1:14" s="39" customFormat="1" ht="12.75">
      <c r="A59" s="299"/>
      <c r="B59" s="299"/>
      <c r="C59" s="300">
        <v>4300</v>
      </c>
      <c r="D59" s="301" t="s">
        <v>362</v>
      </c>
      <c r="E59" s="302">
        <f t="shared" si="2"/>
        <v>70000</v>
      </c>
      <c r="F59" s="302">
        <f t="shared" si="13"/>
        <v>70000</v>
      </c>
      <c r="G59" s="302"/>
      <c r="H59" s="302"/>
      <c r="I59" s="302"/>
      <c r="J59" s="302"/>
      <c r="K59" s="302"/>
      <c r="L59" s="302"/>
      <c r="M59" s="302">
        <v>70000</v>
      </c>
      <c r="N59" s="302"/>
    </row>
    <row r="60" spans="1:14" s="62" customFormat="1" ht="25.5">
      <c r="A60" s="295"/>
      <c r="B60" s="295">
        <v>71014</v>
      </c>
      <c r="C60" s="296"/>
      <c r="D60" s="306" t="s">
        <v>411</v>
      </c>
      <c r="E60" s="298">
        <f t="shared" si="2"/>
        <v>10400</v>
      </c>
      <c r="F60" s="298">
        <f t="shared" si="13"/>
        <v>10400</v>
      </c>
      <c r="G60" s="298">
        <f aca="true" t="shared" si="16" ref="G60:N60">SUM(G61:G61)</f>
        <v>0</v>
      </c>
      <c r="H60" s="298">
        <f t="shared" si="16"/>
        <v>0</v>
      </c>
      <c r="I60" s="298">
        <f t="shared" si="16"/>
        <v>0</v>
      </c>
      <c r="J60" s="298">
        <f t="shared" si="16"/>
        <v>0</v>
      </c>
      <c r="K60" s="298">
        <f t="shared" si="16"/>
        <v>0</v>
      </c>
      <c r="L60" s="298">
        <f t="shared" si="16"/>
        <v>0</v>
      </c>
      <c r="M60" s="298">
        <f t="shared" si="16"/>
        <v>10400</v>
      </c>
      <c r="N60" s="298">
        <f t="shared" si="16"/>
        <v>0</v>
      </c>
    </row>
    <row r="61" spans="1:14" s="39" customFormat="1" ht="38.25">
      <c r="A61" s="299"/>
      <c r="B61" s="299"/>
      <c r="C61" s="300">
        <v>4390</v>
      </c>
      <c r="D61" s="301" t="s">
        <v>603</v>
      </c>
      <c r="E61" s="302">
        <f>F61+N61</f>
        <v>10400</v>
      </c>
      <c r="F61" s="302">
        <f t="shared" si="13"/>
        <v>10400</v>
      </c>
      <c r="G61" s="302"/>
      <c r="H61" s="302"/>
      <c r="I61" s="302"/>
      <c r="J61" s="302"/>
      <c r="K61" s="302"/>
      <c r="L61" s="302"/>
      <c r="M61" s="302">
        <v>10400</v>
      </c>
      <c r="N61" s="302"/>
    </row>
    <row r="62" spans="1:14" s="62" customFormat="1" ht="12.75">
      <c r="A62" s="295"/>
      <c r="B62" s="295">
        <v>71015</v>
      </c>
      <c r="C62" s="296"/>
      <c r="D62" s="306" t="s">
        <v>412</v>
      </c>
      <c r="E62" s="298">
        <f t="shared" si="2"/>
        <v>531400</v>
      </c>
      <c r="F62" s="298">
        <f t="shared" si="13"/>
        <v>531400</v>
      </c>
      <c r="G62" s="298">
        <f aca="true" t="shared" si="17" ref="G62:L62">SUM(G63:G85)</f>
        <v>331200</v>
      </c>
      <c r="H62" s="298">
        <f t="shared" si="17"/>
        <v>25000</v>
      </c>
      <c r="I62" s="298">
        <f t="shared" si="17"/>
        <v>66400</v>
      </c>
      <c r="J62" s="298">
        <f t="shared" si="17"/>
        <v>0</v>
      </c>
      <c r="K62" s="298">
        <f t="shared" si="17"/>
        <v>0</v>
      </c>
      <c r="L62" s="298">
        <f t="shared" si="17"/>
        <v>0</v>
      </c>
      <c r="M62" s="298">
        <f>SUM(M63:M85)</f>
        <v>108800</v>
      </c>
      <c r="N62" s="298">
        <f>SUM(N63:N85)</f>
        <v>0</v>
      </c>
    </row>
    <row r="63" spans="1:14" s="39" customFormat="1" ht="25.5">
      <c r="A63" s="290"/>
      <c r="B63" s="290"/>
      <c r="C63" s="300">
        <v>3020</v>
      </c>
      <c r="D63" s="301" t="s">
        <v>607</v>
      </c>
      <c r="E63" s="302">
        <f t="shared" si="2"/>
        <v>800</v>
      </c>
      <c r="F63" s="302">
        <f t="shared" si="13"/>
        <v>800</v>
      </c>
      <c r="G63" s="302"/>
      <c r="H63" s="302"/>
      <c r="I63" s="302"/>
      <c r="J63" s="302"/>
      <c r="K63" s="302"/>
      <c r="L63" s="302"/>
      <c r="M63" s="302">
        <v>800</v>
      </c>
      <c r="N63" s="302"/>
    </row>
    <row r="64" spans="1:14" s="39" customFormat="1" ht="25.5">
      <c r="A64" s="290"/>
      <c r="B64" s="290"/>
      <c r="C64" s="251">
        <v>4010</v>
      </c>
      <c r="D64" s="301" t="s">
        <v>374</v>
      </c>
      <c r="E64" s="302">
        <f t="shared" si="2"/>
        <v>80500</v>
      </c>
      <c r="F64" s="302">
        <f t="shared" si="13"/>
        <v>80500</v>
      </c>
      <c r="G64" s="302">
        <v>80500</v>
      </c>
      <c r="H64" s="302"/>
      <c r="I64" s="302"/>
      <c r="J64" s="302"/>
      <c r="K64" s="302"/>
      <c r="L64" s="302"/>
      <c r="M64" s="302"/>
      <c r="N64" s="302"/>
    </row>
    <row r="65" spans="1:14" s="39" customFormat="1" ht="38.25">
      <c r="A65" s="290"/>
      <c r="B65" s="290"/>
      <c r="C65" s="251">
        <v>4020</v>
      </c>
      <c r="D65" s="301" t="s">
        <v>685</v>
      </c>
      <c r="E65" s="302">
        <f>F65+N65</f>
        <v>250700</v>
      </c>
      <c r="F65" s="302">
        <f>SUM(G65:M65)</f>
        <v>250700</v>
      </c>
      <c r="G65" s="302">
        <v>250700</v>
      </c>
      <c r="H65" s="302"/>
      <c r="I65" s="302"/>
      <c r="J65" s="302"/>
      <c r="K65" s="302"/>
      <c r="L65" s="302"/>
      <c r="M65" s="302"/>
      <c r="N65" s="302"/>
    </row>
    <row r="66" spans="1:14" s="39" customFormat="1" ht="25.5">
      <c r="A66" s="290"/>
      <c r="B66" s="290"/>
      <c r="C66" s="300">
        <v>4040</v>
      </c>
      <c r="D66" s="301" t="s">
        <v>375</v>
      </c>
      <c r="E66" s="302">
        <f t="shared" si="2"/>
        <v>25000</v>
      </c>
      <c r="F66" s="302">
        <f t="shared" si="13"/>
        <v>25000</v>
      </c>
      <c r="G66" s="302"/>
      <c r="H66" s="302">
        <v>25000</v>
      </c>
      <c r="I66" s="302"/>
      <c r="J66" s="302"/>
      <c r="K66" s="302"/>
      <c r="L66" s="302"/>
      <c r="M66" s="302"/>
      <c r="N66" s="302"/>
    </row>
    <row r="67" spans="1:14" s="39" customFormat="1" ht="25.5">
      <c r="A67" s="290"/>
      <c r="B67" s="290"/>
      <c r="C67" s="300">
        <v>4110</v>
      </c>
      <c r="D67" s="301" t="s">
        <v>376</v>
      </c>
      <c r="E67" s="302">
        <f t="shared" si="2"/>
        <v>57600</v>
      </c>
      <c r="F67" s="302">
        <f t="shared" si="13"/>
        <v>57600</v>
      </c>
      <c r="G67" s="302"/>
      <c r="H67" s="302"/>
      <c r="I67" s="302">
        <v>57600</v>
      </c>
      <c r="J67" s="302"/>
      <c r="K67" s="302"/>
      <c r="L67" s="302"/>
      <c r="M67" s="302"/>
      <c r="N67" s="302"/>
    </row>
    <row r="68" spans="1:14" s="39" customFormat="1" ht="12.75">
      <c r="A68" s="290"/>
      <c r="B68" s="290"/>
      <c r="C68" s="300">
        <v>4120</v>
      </c>
      <c r="D68" s="301" t="s">
        <v>377</v>
      </c>
      <c r="E68" s="302">
        <f t="shared" si="2"/>
        <v>8800</v>
      </c>
      <c r="F68" s="302">
        <f t="shared" si="13"/>
        <v>8800</v>
      </c>
      <c r="G68" s="302"/>
      <c r="H68" s="302"/>
      <c r="I68" s="302">
        <v>8800</v>
      </c>
      <c r="J68" s="302"/>
      <c r="K68" s="302"/>
      <c r="L68" s="302"/>
      <c r="M68" s="302"/>
      <c r="N68" s="302"/>
    </row>
    <row r="69" spans="1:14" s="39" customFormat="1" ht="12.75">
      <c r="A69" s="310"/>
      <c r="B69" s="290"/>
      <c r="C69" s="300">
        <v>4170</v>
      </c>
      <c r="D69" s="301" t="s">
        <v>413</v>
      </c>
      <c r="E69" s="302">
        <f t="shared" si="2"/>
        <v>16500</v>
      </c>
      <c r="F69" s="302">
        <f t="shared" si="13"/>
        <v>16500</v>
      </c>
      <c r="G69" s="302"/>
      <c r="H69" s="302"/>
      <c r="I69" s="302"/>
      <c r="J69" s="302"/>
      <c r="K69" s="302"/>
      <c r="L69" s="302"/>
      <c r="M69" s="302">
        <v>16500</v>
      </c>
      <c r="N69" s="302"/>
    </row>
    <row r="70" spans="1:14" s="39" customFormat="1" ht="25.5">
      <c r="A70" s="290"/>
      <c r="B70" s="290"/>
      <c r="C70" s="300">
        <v>4210</v>
      </c>
      <c r="D70" s="301" t="s">
        <v>379</v>
      </c>
      <c r="E70" s="302">
        <f t="shared" si="2"/>
        <v>25000</v>
      </c>
      <c r="F70" s="302">
        <f t="shared" si="13"/>
        <v>25000</v>
      </c>
      <c r="G70" s="302"/>
      <c r="H70" s="302"/>
      <c r="I70" s="302"/>
      <c r="J70" s="302"/>
      <c r="K70" s="302"/>
      <c r="L70" s="302"/>
      <c r="M70" s="302">
        <v>25000</v>
      </c>
      <c r="N70" s="302"/>
    </row>
    <row r="71" spans="1:14" s="39" customFormat="1" ht="12.75">
      <c r="A71" s="290"/>
      <c r="B71" s="290"/>
      <c r="C71" s="300">
        <v>4260</v>
      </c>
      <c r="D71" s="301" t="s">
        <v>380</v>
      </c>
      <c r="E71" s="302">
        <f t="shared" si="2"/>
        <v>16000</v>
      </c>
      <c r="F71" s="302">
        <f t="shared" si="13"/>
        <v>16000</v>
      </c>
      <c r="G71" s="302"/>
      <c r="H71" s="302"/>
      <c r="I71" s="302"/>
      <c r="J71" s="302"/>
      <c r="K71" s="302"/>
      <c r="L71" s="302"/>
      <c r="M71" s="302">
        <v>16000</v>
      </c>
      <c r="N71" s="302"/>
    </row>
    <row r="72" spans="1:14" s="39" customFormat="1" ht="12.75">
      <c r="A72" s="290"/>
      <c r="B72" s="290"/>
      <c r="C72" s="300">
        <v>4270</v>
      </c>
      <c r="D72" s="301" t="s">
        <v>397</v>
      </c>
      <c r="E72" s="302">
        <f t="shared" si="2"/>
        <v>1800</v>
      </c>
      <c r="F72" s="302">
        <f t="shared" si="13"/>
        <v>1800</v>
      </c>
      <c r="G72" s="302"/>
      <c r="H72" s="302"/>
      <c r="I72" s="302"/>
      <c r="J72" s="302"/>
      <c r="K72" s="302"/>
      <c r="L72" s="302"/>
      <c r="M72" s="302">
        <v>1800</v>
      </c>
      <c r="N72" s="302"/>
    </row>
    <row r="73" spans="1:14" s="39" customFormat="1" ht="12.75">
      <c r="A73" s="290"/>
      <c r="B73" s="290"/>
      <c r="C73" s="300">
        <v>4280</v>
      </c>
      <c r="D73" s="301" t="s">
        <v>414</v>
      </c>
      <c r="E73" s="302">
        <f t="shared" si="2"/>
        <v>200</v>
      </c>
      <c r="F73" s="302">
        <f t="shared" si="13"/>
        <v>200</v>
      </c>
      <c r="G73" s="302"/>
      <c r="H73" s="302"/>
      <c r="I73" s="302"/>
      <c r="J73" s="302"/>
      <c r="K73" s="302"/>
      <c r="L73" s="302"/>
      <c r="M73" s="302">
        <v>200</v>
      </c>
      <c r="N73" s="302"/>
    </row>
    <row r="74" spans="1:14" s="39" customFormat="1" ht="12.75">
      <c r="A74" s="290"/>
      <c r="B74" s="290"/>
      <c r="C74" s="300">
        <v>4300</v>
      </c>
      <c r="D74" s="301" t="s">
        <v>415</v>
      </c>
      <c r="E74" s="302">
        <f t="shared" si="2"/>
        <v>17068</v>
      </c>
      <c r="F74" s="302">
        <f t="shared" si="13"/>
        <v>17068</v>
      </c>
      <c r="G74" s="302"/>
      <c r="H74" s="302"/>
      <c r="I74" s="302"/>
      <c r="J74" s="302"/>
      <c r="K74" s="302"/>
      <c r="L74" s="302"/>
      <c r="M74" s="302">
        <v>17068</v>
      </c>
      <c r="N74" s="302"/>
    </row>
    <row r="75" spans="1:14" s="39" customFormat="1" ht="25.5">
      <c r="A75" s="290"/>
      <c r="B75" s="290"/>
      <c r="C75" s="300">
        <v>4350</v>
      </c>
      <c r="D75" s="301" t="s">
        <v>653</v>
      </c>
      <c r="E75" s="302">
        <f t="shared" si="2"/>
        <v>700</v>
      </c>
      <c r="F75" s="302">
        <f t="shared" si="13"/>
        <v>700</v>
      </c>
      <c r="G75" s="302"/>
      <c r="H75" s="302"/>
      <c r="I75" s="302"/>
      <c r="J75" s="302"/>
      <c r="K75" s="302"/>
      <c r="L75" s="302"/>
      <c r="M75" s="302">
        <v>700</v>
      </c>
      <c r="N75" s="302"/>
    </row>
    <row r="76" spans="1:14" s="39" customFormat="1" ht="38.25">
      <c r="A76" s="290"/>
      <c r="B76" s="290"/>
      <c r="C76" s="300">
        <v>4360</v>
      </c>
      <c r="D76" s="301" t="s">
        <v>604</v>
      </c>
      <c r="E76" s="302">
        <f t="shared" si="2"/>
        <v>1300</v>
      </c>
      <c r="F76" s="302">
        <f t="shared" si="13"/>
        <v>1300</v>
      </c>
      <c r="G76" s="302"/>
      <c r="H76" s="302"/>
      <c r="I76" s="302"/>
      <c r="J76" s="302"/>
      <c r="K76" s="302"/>
      <c r="L76" s="302"/>
      <c r="M76" s="302">
        <v>1300</v>
      </c>
      <c r="N76" s="302"/>
    </row>
    <row r="77" spans="1:14" s="39" customFormat="1" ht="38.25">
      <c r="A77" s="290"/>
      <c r="B77" s="290"/>
      <c r="C77" s="300">
        <v>4370</v>
      </c>
      <c r="D77" s="301" t="s">
        <v>605</v>
      </c>
      <c r="E77" s="302">
        <f aca="true" t="shared" si="18" ref="E77:E157">F77+N77</f>
        <v>5300</v>
      </c>
      <c r="F77" s="302">
        <f aca="true" t="shared" si="19" ref="F77:F157">SUM(G77:M77)</f>
        <v>5300</v>
      </c>
      <c r="G77" s="302"/>
      <c r="H77" s="302"/>
      <c r="I77" s="302"/>
      <c r="J77" s="302"/>
      <c r="K77" s="302"/>
      <c r="L77" s="302"/>
      <c r="M77" s="302">
        <v>5300</v>
      </c>
      <c r="N77" s="302"/>
    </row>
    <row r="78" spans="1:14" s="39" customFormat="1" ht="38.25">
      <c r="A78" s="290"/>
      <c r="B78" s="290"/>
      <c r="C78" s="300">
        <v>4400</v>
      </c>
      <c r="D78" s="301" t="s">
        <v>106</v>
      </c>
      <c r="E78" s="302">
        <f t="shared" si="18"/>
        <v>200</v>
      </c>
      <c r="F78" s="302">
        <f t="shared" si="19"/>
        <v>200</v>
      </c>
      <c r="G78" s="302"/>
      <c r="H78" s="302"/>
      <c r="I78" s="302"/>
      <c r="J78" s="302"/>
      <c r="K78" s="302"/>
      <c r="L78" s="302"/>
      <c r="M78" s="302">
        <v>200</v>
      </c>
      <c r="N78" s="302"/>
    </row>
    <row r="79" spans="1:14" s="39" customFormat="1" ht="12.75">
      <c r="A79" s="290"/>
      <c r="B79" s="290"/>
      <c r="C79" s="300">
        <v>4410</v>
      </c>
      <c r="D79" s="301" t="s">
        <v>388</v>
      </c>
      <c r="E79" s="302">
        <f t="shared" si="18"/>
        <v>1800</v>
      </c>
      <c r="F79" s="302">
        <f t="shared" si="19"/>
        <v>1800</v>
      </c>
      <c r="G79" s="302"/>
      <c r="H79" s="302"/>
      <c r="I79" s="302"/>
      <c r="J79" s="302"/>
      <c r="K79" s="302"/>
      <c r="L79" s="302"/>
      <c r="M79" s="302">
        <v>1800</v>
      </c>
      <c r="N79" s="302"/>
    </row>
    <row r="80" spans="1:14" s="39" customFormat="1" ht="12.75">
      <c r="A80" s="290"/>
      <c r="B80" s="290"/>
      <c r="C80" s="300">
        <v>4430</v>
      </c>
      <c r="D80" s="301" t="s">
        <v>389</v>
      </c>
      <c r="E80" s="302">
        <f t="shared" si="18"/>
        <v>2900</v>
      </c>
      <c r="F80" s="302">
        <f t="shared" si="19"/>
        <v>2900</v>
      </c>
      <c r="G80" s="302"/>
      <c r="H80" s="302"/>
      <c r="I80" s="302"/>
      <c r="J80" s="302"/>
      <c r="K80" s="302"/>
      <c r="L80" s="302"/>
      <c r="M80" s="302">
        <v>2900</v>
      </c>
      <c r="N80" s="302"/>
    </row>
    <row r="81" spans="1:14" s="39" customFormat="1" ht="40.5" customHeight="1">
      <c r="A81" s="290"/>
      <c r="B81" s="290"/>
      <c r="C81" s="300">
        <v>4440</v>
      </c>
      <c r="D81" s="301" t="s">
        <v>390</v>
      </c>
      <c r="E81" s="302">
        <f t="shared" si="18"/>
        <v>8500</v>
      </c>
      <c r="F81" s="302">
        <f t="shared" si="19"/>
        <v>8500</v>
      </c>
      <c r="G81" s="302"/>
      <c r="H81" s="302"/>
      <c r="I81" s="302"/>
      <c r="J81" s="302"/>
      <c r="K81" s="302"/>
      <c r="L81" s="302"/>
      <c r="M81" s="302">
        <v>8500</v>
      </c>
      <c r="N81" s="302"/>
    </row>
    <row r="82" spans="1:14" s="39" customFormat="1" ht="25.5">
      <c r="A82" s="290"/>
      <c r="B82" s="290"/>
      <c r="C82" s="300">
        <v>4550</v>
      </c>
      <c r="D82" s="392" t="s">
        <v>77</v>
      </c>
      <c r="E82" s="302">
        <f t="shared" si="18"/>
        <v>1000</v>
      </c>
      <c r="F82" s="302">
        <f t="shared" si="19"/>
        <v>1000</v>
      </c>
      <c r="G82" s="302"/>
      <c r="H82" s="302"/>
      <c r="I82" s="302"/>
      <c r="J82" s="302"/>
      <c r="K82" s="302"/>
      <c r="L82" s="302"/>
      <c r="M82" s="302">
        <v>1000</v>
      </c>
      <c r="N82" s="302"/>
    </row>
    <row r="83" spans="1:14" s="39" customFormat="1" ht="51">
      <c r="A83" s="290"/>
      <c r="B83" s="290"/>
      <c r="C83" s="300">
        <v>4740</v>
      </c>
      <c r="D83" s="301" t="s">
        <v>416</v>
      </c>
      <c r="E83" s="302">
        <f t="shared" si="18"/>
        <v>1200</v>
      </c>
      <c r="F83" s="302">
        <f t="shared" si="19"/>
        <v>1200</v>
      </c>
      <c r="G83" s="302"/>
      <c r="H83" s="302"/>
      <c r="I83" s="302"/>
      <c r="J83" s="302"/>
      <c r="K83" s="302"/>
      <c r="L83" s="302"/>
      <c r="M83" s="302">
        <v>1200</v>
      </c>
      <c r="N83" s="302"/>
    </row>
    <row r="84" spans="1:14" s="39" customFormat="1" ht="38.25">
      <c r="A84" s="290"/>
      <c r="B84" s="290"/>
      <c r="C84" s="300">
        <v>4750</v>
      </c>
      <c r="D84" s="301" t="s">
        <v>417</v>
      </c>
      <c r="E84" s="302">
        <f t="shared" si="18"/>
        <v>7800</v>
      </c>
      <c r="F84" s="302">
        <f t="shared" si="19"/>
        <v>7800</v>
      </c>
      <c r="G84" s="302"/>
      <c r="H84" s="302"/>
      <c r="I84" s="302"/>
      <c r="J84" s="302"/>
      <c r="K84" s="302"/>
      <c r="L84" s="302"/>
      <c r="M84" s="302">
        <v>7800</v>
      </c>
      <c r="N84" s="302"/>
    </row>
    <row r="85" spans="1:14" s="39" customFormat="1" ht="25.5">
      <c r="A85" s="290"/>
      <c r="B85" s="290"/>
      <c r="C85" s="300">
        <v>4610</v>
      </c>
      <c r="D85" s="397" t="s">
        <v>87</v>
      </c>
      <c r="E85" s="302">
        <f>F85+N85</f>
        <v>732</v>
      </c>
      <c r="F85" s="302">
        <f>SUM(G85:M85)</f>
        <v>732</v>
      </c>
      <c r="G85" s="302"/>
      <c r="H85" s="302"/>
      <c r="I85" s="302"/>
      <c r="J85" s="302"/>
      <c r="K85" s="302"/>
      <c r="L85" s="302"/>
      <c r="M85" s="302">
        <v>732</v>
      </c>
      <c r="N85" s="302">
        <v>0</v>
      </c>
    </row>
    <row r="86" spans="1:14" s="62" customFormat="1" ht="12.75">
      <c r="A86" s="295"/>
      <c r="B86" s="295">
        <v>71095</v>
      </c>
      <c r="C86" s="296"/>
      <c r="D86" s="306" t="s">
        <v>418</v>
      </c>
      <c r="E86" s="298">
        <f t="shared" si="18"/>
        <v>6000</v>
      </c>
      <c r="F86" s="298">
        <f t="shared" si="19"/>
        <v>6000</v>
      </c>
      <c r="G86" s="298">
        <f>SUM(G87:G87)</f>
        <v>0</v>
      </c>
      <c r="H86" s="298">
        <f aca="true" t="shared" si="20" ref="H86:N86">SUM(H87:H87)</f>
        <v>0</v>
      </c>
      <c r="I86" s="298">
        <f t="shared" si="20"/>
        <v>0</v>
      </c>
      <c r="J86" s="298">
        <f t="shared" si="20"/>
        <v>0</v>
      </c>
      <c r="K86" s="298">
        <f t="shared" si="20"/>
        <v>0</v>
      </c>
      <c r="L86" s="298">
        <f t="shared" si="20"/>
        <v>0</v>
      </c>
      <c r="M86" s="298">
        <f t="shared" si="20"/>
        <v>6000</v>
      </c>
      <c r="N86" s="298">
        <f t="shared" si="20"/>
        <v>0</v>
      </c>
    </row>
    <row r="87" spans="1:14" s="39" customFormat="1" ht="12.75">
      <c r="A87" s="299"/>
      <c r="B87" s="299"/>
      <c r="C87" s="300">
        <v>4300</v>
      </c>
      <c r="D87" s="301" t="s">
        <v>362</v>
      </c>
      <c r="E87" s="302">
        <f t="shared" si="18"/>
        <v>6000</v>
      </c>
      <c r="F87" s="302">
        <f t="shared" si="19"/>
        <v>6000</v>
      </c>
      <c r="G87" s="302"/>
      <c r="H87" s="302"/>
      <c r="I87" s="302"/>
      <c r="J87" s="302"/>
      <c r="K87" s="302"/>
      <c r="L87" s="302"/>
      <c r="M87" s="302">
        <v>6000</v>
      </c>
      <c r="N87" s="302"/>
    </row>
    <row r="88" spans="1:14" s="294" customFormat="1" ht="12.75">
      <c r="A88" s="311">
        <v>750</v>
      </c>
      <c r="B88" s="311"/>
      <c r="C88" s="311"/>
      <c r="D88" s="312" t="s">
        <v>419</v>
      </c>
      <c r="E88" s="293">
        <f t="shared" si="18"/>
        <v>8199347</v>
      </c>
      <c r="F88" s="293">
        <f t="shared" si="19"/>
        <v>8025347</v>
      </c>
      <c r="G88" s="293">
        <f>SUM(G91+G106+G116+G148+G163+G89)</f>
        <v>3627347</v>
      </c>
      <c r="H88" s="293">
        <f aca="true" t="shared" si="21" ref="H88:N88">SUM(H91+H106+H116+H148+H163+H89)</f>
        <v>247000</v>
      </c>
      <c r="I88" s="293">
        <f t="shared" si="21"/>
        <v>653900</v>
      </c>
      <c r="J88" s="293">
        <f t="shared" si="21"/>
        <v>1117</v>
      </c>
      <c r="K88" s="293">
        <f t="shared" si="21"/>
        <v>0</v>
      </c>
      <c r="L88" s="293">
        <f t="shared" si="21"/>
        <v>0</v>
      </c>
      <c r="M88" s="293">
        <f t="shared" si="21"/>
        <v>3495983</v>
      </c>
      <c r="N88" s="293">
        <f t="shared" si="21"/>
        <v>174000</v>
      </c>
    </row>
    <row r="89" spans="1:14" s="62" customFormat="1" ht="48" customHeight="1">
      <c r="A89" s="53"/>
      <c r="B89" s="53">
        <v>75001</v>
      </c>
      <c r="C89" s="53"/>
      <c r="D89" s="313" t="s">
        <v>88</v>
      </c>
      <c r="E89" s="298">
        <f>F89+N89</f>
        <v>1117</v>
      </c>
      <c r="F89" s="298">
        <f>SUM(G89:M89)</f>
        <v>1117</v>
      </c>
      <c r="G89" s="298">
        <f>G90</f>
        <v>0</v>
      </c>
      <c r="H89" s="298">
        <f aca="true" t="shared" si="22" ref="H89:N89">H90</f>
        <v>0</v>
      </c>
      <c r="I89" s="298">
        <f t="shared" si="22"/>
        <v>0</v>
      </c>
      <c r="J89" s="298">
        <f t="shared" si="22"/>
        <v>1117</v>
      </c>
      <c r="K89" s="298">
        <f t="shared" si="22"/>
        <v>0</v>
      </c>
      <c r="L89" s="298">
        <f t="shared" si="22"/>
        <v>0</v>
      </c>
      <c r="M89" s="298">
        <f t="shared" si="22"/>
        <v>0</v>
      </c>
      <c r="N89" s="298">
        <f t="shared" si="22"/>
        <v>0</v>
      </c>
    </row>
    <row r="90" spans="1:14" s="39" customFormat="1" ht="76.5">
      <c r="A90" s="290"/>
      <c r="B90" s="290"/>
      <c r="C90" s="300">
        <v>2320</v>
      </c>
      <c r="D90" s="392" t="s">
        <v>482</v>
      </c>
      <c r="E90" s="302">
        <f>F90+N90</f>
        <v>1117</v>
      </c>
      <c r="F90" s="302">
        <f>SUM(G90:M90)</f>
        <v>1117</v>
      </c>
      <c r="G90" s="302"/>
      <c r="H90" s="302"/>
      <c r="I90" s="302"/>
      <c r="J90" s="302">
        <v>1117</v>
      </c>
      <c r="K90" s="302"/>
      <c r="L90" s="302"/>
      <c r="M90" s="302"/>
      <c r="N90" s="302"/>
    </row>
    <row r="91" spans="1:14" s="62" customFormat="1" ht="12.75">
      <c r="A91" s="53"/>
      <c r="B91" s="53">
        <v>75011</v>
      </c>
      <c r="C91" s="53"/>
      <c r="D91" s="313" t="s">
        <v>420</v>
      </c>
      <c r="E91" s="298">
        <f t="shared" si="18"/>
        <v>523380</v>
      </c>
      <c r="F91" s="298">
        <f t="shared" si="19"/>
        <v>523380</v>
      </c>
      <c r="G91" s="298">
        <f>SUM(G92:G105)</f>
        <v>376847</v>
      </c>
      <c r="H91" s="298">
        <f aca="true" t="shared" si="23" ref="H91:N91">SUM(H92:H105)</f>
        <v>25000</v>
      </c>
      <c r="I91" s="298">
        <f t="shared" si="23"/>
        <v>71000</v>
      </c>
      <c r="J91" s="298">
        <f t="shared" si="23"/>
        <v>0</v>
      </c>
      <c r="K91" s="298">
        <f t="shared" si="23"/>
        <v>0</v>
      </c>
      <c r="L91" s="298">
        <f t="shared" si="23"/>
        <v>0</v>
      </c>
      <c r="M91" s="298">
        <f t="shared" si="23"/>
        <v>50533</v>
      </c>
      <c r="N91" s="298">
        <f t="shared" si="23"/>
        <v>0</v>
      </c>
    </row>
    <row r="92" spans="1:14" s="39" customFormat="1" ht="25.5">
      <c r="A92" s="290"/>
      <c r="B92" s="290"/>
      <c r="C92" s="300">
        <v>3020</v>
      </c>
      <c r="D92" s="301" t="s">
        <v>607</v>
      </c>
      <c r="E92" s="302">
        <f t="shared" si="18"/>
        <v>0</v>
      </c>
      <c r="F92" s="302">
        <f t="shared" si="19"/>
        <v>0</v>
      </c>
      <c r="G92" s="302"/>
      <c r="H92" s="302"/>
      <c r="I92" s="302"/>
      <c r="J92" s="302"/>
      <c r="K92" s="302"/>
      <c r="L92" s="302"/>
      <c r="M92" s="302"/>
      <c r="N92" s="302"/>
    </row>
    <row r="93" spans="1:16" s="39" customFormat="1" ht="25.5">
      <c r="A93" s="290"/>
      <c r="B93" s="290"/>
      <c r="C93" s="251">
        <v>4010</v>
      </c>
      <c r="D93" s="301" t="s">
        <v>374</v>
      </c>
      <c r="E93" s="302">
        <f t="shared" si="18"/>
        <v>376847</v>
      </c>
      <c r="F93" s="302">
        <f t="shared" si="19"/>
        <v>376847</v>
      </c>
      <c r="G93" s="302">
        <f>414600-37753</f>
        <v>376847</v>
      </c>
      <c r="H93" s="302"/>
      <c r="I93" s="302"/>
      <c r="J93" s="302"/>
      <c r="K93" s="302"/>
      <c r="L93" s="302"/>
      <c r="M93" s="302"/>
      <c r="N93" s="302"/>
      <c r="P93" s="39">
        <f>414600/523380</f>
        <v>0.79215866101112</v>
      </c>
    </row>
    <row r="94" spans="1:16" s="39" customFormat="1" ht="33" customHeight="1">
      <c r="A94" s="310"/>
      <c r="B94" s="290"/>
      <c r="C94" s="300">
        <v>4170</v>
      </c>
      <c r="D94" s="301" t="s">
        <v>413</v>
      </c>
      <c r="E94" s="302">
        <f>F94+N94</f>
        <v>0</v>
      </c>
      <c r="F94" s="302">
        <f>SUM(G94:M94)</f>
        <v>0</v>
      </c>
      <c r="G94" s="302"/>
      <c r="H94" s="302"/>
      <c r="I94" s="302"/>
      <c r="J94" s="302"/>
      <c r="K94" s="302"/>
      <c r="L94" s="302"/>
      <c r="M94" s="302"/>
      <c r="N94" s="302"/>
      <c r="P94" s="39">
        <f>G93*79.2%</f>
        <v>298462.824</v>
      </c>
    </row>
    <row r="95" spans="1:14" s="39" customFormat="1" ht="25.5">
      <c r="A95" s="290"/>
      <c r="B95" s="290"/>
      <c r="C95" s="300">
        <v>4040</v>
      </c>
      <c r="D95" s="301" t="s">
        <v>375</v>
      </c>
      <c r="E95" s="302">
        <f t="shared" si="18"/>
        <v>25000</v>
      </c>
      <c r="F95" s="302">
        <f t="shared" si="19"/>
        <v>25000</v>
      </c>
      <c r="G95" s="302"/>
      <c r="H95" s="302">
        <v>25000</v>
      </c>
      <c r="I95" s="302"/>
      <c r="J95" s="302"/>
      <c r="K95" s="302"/>
      <c r="L95" s="302"/>
      <c r="M95" s="302"/>
      <c r="N95" s="302"/>
    </row>
    <row r="96" spans="1:14" s="39" customFormat="1" ht="25.5">
      <c r="A96" s="290"/>
      <c r="B96" s="290"/>
      <c r="C96" s="300">
        <v>4110</v>
      </c>
      <c r="D96" s="301" t="s">
        <v>376</v>
      </c>
      <c r="E96" s="302">
        <f t="shared" si="18"/>
        <v>61000</v>
      </c>
      <c r="F96" s="302">
        <f t="shared" si="19"/>
        <v>61000</v>
      </c>
      <c r="G96" s="302"/>
      <c r="H96" s="302"/>
      <c r="I96" s="302">
        <v>61000</v>
      </c>
      <c r="J96" s="302"/>
      <c r="K96" s="302"/>
      <c r="L96" s="302"/>
      <c r="M96" s="302"/>
      <c r="N96" s="302"/>
    </row>
    <row r="97" spans="1:14" s="39" customFormat="1" ht="12.75">
      <c r="A97" s="290"/>
      <c r="B97" s="290"/>
      <c r="C97" s="300">
        <v>4120</v>
      </c>
      <c r="D97" s="301" t="s">
        <v>377</v>
      </c>
      <c r="E97" s="302">
        <f t="shared" si="18"/>
        <v>10000</v>
      </c>
      <c r="F97" s="302">
        <f t="shared" si="19"/>
        <v>10000</v>
      </c>
      <c r="G97" s="302"/>
      <c r="H97" s="302"/>
      <c r="I97" s="302">
        <v>10000</v>
      </c>
      <c r="J97" s="302"/>
      <c r="K97" s="302"/>
      <c r="L97" s="302"/>
      <c r="M97" s="302"/>
      <c r="N97" s="302"/>
    </row>
    <row r="98" spans="1:14" s="39" customFormat="1" ht="12.75">
      <c r="A98" s="310"/>
      <c r="B98" s="290"/>
      <c r="C98" s="300">
        <v>4170</v>
      </c>
      <c r="D98" s="301" t="s">
        <v>413</v>
      </c>
      <c r="E98" s="302">
        <f t="shared" si="18"/>
        <v>7753</v>
      </c>
      <c r="F98" s="302">
        <f t="shared" si="19"/>
        <v>7753</v>
      </c>
      <c r="G98" s="302"/>
      <c r="H98" s="302"/>
      <c r="I98" s="302"/>
      <c r="J98" s="302"/>
      <c r="K98" s="302"/>
      <c r="L98" s="302"/>
      <c r="M98" s="302">
        <v>7753</v>
      </c>
      <c r="N98" s="302"/>
    </row>
    <row r="99" spans="1:14" s="39" customFormat="1" ht="12.75">
      <c r="A99" s="290"/>
      <c r="B99" s="290"/>
      <c r="C99" s="300">
        <v>4280</v>
      </c>
      <c r="D99" s="301" t="s">
        <v>421</v>
      </c>
      <c r="E99" s="302">
        <f t="shared" si="18"/>
        <v>250</v>
      </c>
      <c r="F99" s="302">
        <f t="shared" si="19"/>
        <v>250</v>
      </c>
      <c r="G99" s="302"/>
      <c r="H99" s="302"/>
      <c r="I99" s="302"/>
      <c r="J99" s="302"/>
      <c r="K99" s="302"/>
      <c r="L99" s="302"/>
      <c r="M99" s="302">
        <v>250</v>
      </c>
      <c r="N99" s="302"/>
    </row>
    <row r="100" spans="1:14" s="39" customFormat="1" ht="12.75" hidden="1">
      <c r="A100" s="290"/>
      <c r="B100" s="290"/>
      <c r="C100" s="300">
        <v>4300</v>
      </c>
      <c r="D100" s="301" t="s">
        <v>415</v>
      </c>
      <c r="E100" s="302">
        <f t="shared" si="18"/>
        <v>0</v>
      </c>
      <c r="F100" s="302">
        <f t="shared" si="19"/>
        <v>0</v>
      </c>
      <c r="G100" s="302"/>
      <c r="H100" s="302"/>
      <c r="I100" s="302"/>
      <c r="J100" s="302"/>
      <c r="K100" s="302"/>
      <c r="L100" s="302"/>
      <c r="M100" s="302"/>
      <c r="N100" s="302"/>
    </row>
    <row r="101" spans="1:14" s="39" customFormat="1" ht="12.75">
      <c r="A101" s="290"/>
      <c r="B101" s="290"/>
      <c r="C101" s="300">
        <v>4410</v>
      </c>
      <c r="D101" s="301" t="s">
        <v>388</v>
      </c>
      <c r="E101" s="302">
        <f t="shared" si="18"/>
        <v>3600</v>
      </c>
      <c r="F101" s="302">
        <f t="shared" si="19"/>
        <v>3600</v>
      </c>
      <c r="G101" s="302"/>
      <c r="H101" s="302"/>
      <c r="I101" s="302"/>
      <c r="J101" s="302"/>
      <c r="K101" s="302"/>
      <c r="L101" s="302"/>
      <c r="M101" s="302">
        <v>3600</v>
      </c>
      <c r="N101" s="302"/>
    </row>
    <row r="102" spans="1:14" s="39" customFormat="1" ht="25.5">
      <c r="A102" s="290"/>
      <c r="B102" s="290"/>
      <c r="C102" s="300">
        <v>4440</v>
      </c>
      <c r="D102" s="301" t="s">
        <v>390</v>
      </c>
      <c r="E102" s="302">
        <f t="shared" si="18"/>
        <v>8930</v>
      </c>
      <c r="F102" s="302">
        <f t="shared" si="19"/>
        <v>8930</v>
      </c>
      <c r="G102" s="302"/>
      <c r="H102" s="302"/>
      <c r="I102" s="302"/>
      <c r="J102" s="302"/>
      <c r="K102" s="302"/>
      <c r="L102" s="302"/>
      <c r="M102" s="302">
        <v>8930</v>
      </c>
      <c r="N102" s="302"/>
    </row>
    <row r="103" spans="1:14" s="39" customFormat="1" ht="25.5" hidden="1">
      <c r="A103" s="290"/>
      <c r="B103" s="290"/>
      <c r="C103" s="300">
        <v>4610</v>
      </c>
      <c r="D103" s="301" t="s">
        <v>654</v>
      </c>
      <c r="E103" s="302">
        <f t="shared" si="18"/>
        <v>0</v>
      </c>
      <c r="F103" s="302">
        <f t="shared" si="19"/>
        <v>0</v>
      </c>
      <c r="G103" s="302"/>
      <c r="H103" s="302"/>
      <c r="I103" s="302"/>
      <c r="J103" s="302"/>
      <c r="K103" s="302"/>
      <c r="L103" s="302"/>
      <c r="M103" s="302"/>
      <c r="N103" s="302"/>
    </row>
    <row r="104" spans="1:14" s="39" customFormat="1" ht="38.25" hidden="1">
      <c r="A104" s="290"/>
      <c r="B104" s="290"/>
      <c r="C104" s="300">
        <v>4750</v>
      </c>
      <c r="D104" s="301" t="s">
        <v>417</v>
      </c>
      <c r="E104" s="302">
        <f>F104+N104</f>
        <v>0</v>
      </c>
      <c r="F104" s="302">
        <f>SUM(G104:M104)</f>
        <v>0</v>
      </c>
      <c r="G104" s="302"/>
      <c r="H104" s="302"/>
      <c r="I104" s="302"/>
      <c r="J104" s="302"/>
      <c r="K104" s="302"/>
      <c r="L104" s="302"/>
      <c r="M104" s="302"/>
      <c r="N104" s="302"/>
    </row>
    <row r="105" spans="1:14" s="39" customFormat="1" ht="25.5">
      <c r="A105" s="299"/>
      <c r="B105" s="299"/>
      <c r="C105" s="300">
        <v>4610</v>
      </c>
      <c r="D105" s="309" t="s">
        <v>398</v>
      </c>
      <c r="E105" s="302">
        <f>F105+N105</f>
        <v>30000</v>
      </c>
      <c r="F105" s="302">
        <f>SUM(G105:M105)</f>
        <v>30000</v>
      </c>
      <c r="G105" s="302"/>
      <c r="H105" s="302"/>
      <c r="I105" s="302"/>
      <c r="J105" s="302"/>
      <c r="K105" s="302"/>
      <c r="L105" s="302"/>
      <c r="M105" s="302">
        <v>30000</v>
      </c>
      <c r="N105" s="302"/>
    </row>
    <row r="106" spans="1:14" s="62" customFormat="1" ht="12.75">
      <c r="A106" s="295"/>
      <c r="B106" s="295">
        <v>75019</v>
      </c>
      <c r="C106" s="296"/>
      <c r="D106" s="306" t="s">
        <v>422</v>
      </c>
      <c r="E106" s="298">
        <f t="shared" si="18"/>
        <v>416200</v>
      </c>
      <c r="F106" s="298">
        <f t="shared" si="19"/>
        <v>416200</v>
      </c>
      <c r="G106" s="298">
        <f aca="true" t="shared" si="24" ref="G106:L106">SUM(G107:G115)</f>
        <v>0</v>
      </c>
      <c r="H106" s="298">
        <f t="shared" si="24"/>
        <v>0</v>
      </c>
      <c r="I106" s="298">
        <f t="shared" si="24"/>
        <v>0</v>
      </c>
      <c r="J106" s="298">
        <f t="shared" si="24"/>
        <v>0</v>
      </c>
      <c r="K106" s="298">
        <f t="shared" si="24"/>
        <v>0</v>
      </c>
      <c r="L106" s="298">
        <f t="shared" si="24"/>
        <v>0</v>
      </c>
      <c r="M106" s="298">
        <f>SUM(M107:M115)</f>
        <v>416200</v>
      </c>
      <c r="N106" s="298">
        <f>SUM(N107:N113)</f>
        <v>0</v>
      </c>
    </row>
    <row r="107" spans="1:14" s="39" customFormat="1" ht="25.5">
      <c r="A107" s="299"/>
      <c r="B107" s="299"/>
      <c r="C107" s="300">
        <v>3030</v>
      </c>
      <c r="D107" s="301" t="s">
        <v>423</v>
      </c>
      <c r="E107" s="302">
        <f t="shared" si="18"/>
        <v>374000</v>
      </c>
      <c r="F107" s="302">
        <f t="shared" si="19"/>
        <v>374000</v>
      </c>
      <c r="G107" s="302"/>
      <c r="H107" s="302"/>
      <c r="I107" s="302"/>
      <c r="J107" s="302"/>
      <c r="K107" s="302"/>
      <c r="L107" s="302"/>
      <c r="M107" s="302">
        <v>374000</v>
      </c>
      <c r="N107" s="302"/>
    </row>
    <row r="108" spans="1:14" s="39" customFormat="1" ht="25.5">
      <c r="A108" s="299"/>
      <c r="B108" s="299"/>
      <c r="C108" s="300">
        <v>4210</v>
      </c>
      <c r="D108" s="301" t="s">
        <v>379</v>
      </c>
      <c r="E108" s="302">
        <f t="shared" si="18"/>
        <v>12800</v>
      </c>
      <c r="F108" s="302">
        <f t="shared" si="19"/>
        <v>12800</v>
      </c>
      <c r="G108" s="302"/>
      <c r="H108" s="302"/>
      <c r="I108" s="302"/>
      <c r="J108" s="302"/>
      <c r="K108" s="302"/>
      <c r="L108" s="302"/>
      <c r="M108" s="302">
        <f>7800+5000</f>
        <v>12800</v>
      </c>
      <c r="N108" s="302"/>
    </row>
    <row r="109" spans="1:14" s="39" customFormat="1" ht="12.75">
      <c r="A109" s="299"/>
      <c r="B109" s="299"/>
      <c r="C109" s="300">
        <v>4300</v>
      </c>
      <c r="D109" s="301" t="s">
        <v>424</v>
      </c>
      <c r="E109" s="302">
        <f t="shared" si="18"/>
        <v>7300</v>
      </c>
      <c r="F109" s="302">
        <f t="shared" si="19"/>
        <v>7300</v>
      </c>
      <c r="G109" s="302"/>
      <c r="H109" s="302"/>
      <c r="I109" s="302"/>
      <c r="J109" s="302"/>
      <c r="K109" s="302"/>
      <c r="L109" s="302"/>
      <c r="M109" s="302">
        <f>2300+5000</f>
        <v>7300</v>
      </c>
      <c r="N109" s="302"/>
    </row>
    <row r="110" spans="1:14" s="39" customFormat="1" ht="38.25">
      <c r="A110" s="299"/>
      <c r="B110" s="299"/>
      <c r="C110" s="300">
        <v>4360</v>
      </c>
      <c r="D110" s="301" t="s">
        <v>99</v>
      </c>
      <c r="E110" s="302">
        <f>F110+N110</f>
        <v>8500</v>
      </c>
      <c r="F110" s="302">
        <f>SUM(G110:M110)</f>
        <v>8500</v>
      </c>
      <c r="G110" s="302"/>
      <c r="H110" s="302"/>
      <c r="I110" s="302"/>
      <c r="J110" s="302"/>
      <c r="K110" s="302"/>
      <c r="L110" s="302"/>
      <c r="M110" s="302">
        <v>8500</v>
      </c>
      <c r="N110" s="302"/>
    </row>
    <row r="111" spans="1:14" s="39" customFormat="1" ht="38.25">
      <c r="A111" s="299"/>
      <c r="B111" s="299"/>
      <c r="C111" s="300">
        <v>4370</v>
      </c>
      <c r="D111" s="301" t="s">
        <v>605</v>
      </c>
      <c r="E111" s="302">
        <f t="shared" si="18"/>
        <v>0</v>
      </c>
      <c r="F111" s="302">
        <f t="shared" si="19"/>
        <v>0</v>
      </c>
      <c r="G111" s="302"/>
      <c r="H111" s="302"/>
      <c r="I111" s="302"/>
      <c r="J111" s="302"/>
      <c r="K111" s="302"/>
      <c r="L111" s="302"/>
      <c r="M111" s="302"/>
      <c r="N111" s="302"/>
    </row>
    <row r="112" spans="1:14" s="39" customFormat="1" ht="52.5" customHeight="1">
      <c r="A112" s="299"/>
      <c r="B112" s="299"/>
      <c r="C112" s="300">
        <v>4400</v>
      </c>
      <c r="D112" s="301" t="s">
        <v>106</v>
      </c>
      <c r="E112" s="302">
        <f t="shared" si="18"/>
        <v>2600</v>
      </c>
      <c r="F112" s="302">
        <f t="shared" si="19"/>
        <v>2600</v>
      </c>
      <c r="G112" s="302"/>
      <c r="H112" s="302"/>
      <c r="I112" s="302"/>
      <c r="J112" s="302"/>
      <c r="K112" s="302"/>
      <c r="L112" s="302"/>
      <c r="M112" s="302">
        <v>2600</v>
      </c>
      <c r="N112" s="302"/>
    </row>
    <row r="113" spans="1:14" s="39" customFormat="1" ht="12.75">
      <c r="A113" s="299"/>
      <c r="B113" s="299"/>
      <c r="C113" s="300">
        <v>4410</v>
      </c>
      <c r="D113" s="301" t="s">
        <v>388</v>
      </c>
      <c r="E113" s="302">
        <f t="shared" si="18"/>
        <v>2000</v>
      </c>
      <c r="F113" s="302">
        <f t="shared" si="19"/>
        <v>2000</v>
      </c>
      <c r="G113" s="302"/>
      <c r="H113" s="302"/>
      <c r="I113" s="302"/>
      <c r="J113" s="302"/>
      <c r="K113" s="302"/>
      <c r="L113" s="302"/>
      <c r="M113" s="302">
        <v>2000</v>
      </c>
      <c r="N113" s="302"/>
    </row>
    <row r="114" spans="1:14" s="39" customFormat="1" ht="25.5">
      <c r="A114" s="299"/>
      <c r="B114" s="299"/>
      <c r="C114" s="300">
        <v>4420</v>
      </c>
      <c r="D114" s="301" t="s">
        <v>102</v>
      </c>
      <c r="E114" s="302">
        <f>F114+N114</f>
        <v>4000</v>
      </c>
      <c r="F114" s="302">
        <f>SUM(G114:M114)</f>
        <v>4000</v>
      </c>
      <c r="G114" s="302"/>
      <c r="H114" s="302"/>
      <c r="I114" s="302"/>
      <c r="J114" s="302"/>
      <c r="K114" s="302"/>
      <c r="L114" s="302"/>
      <c r="M114" s="302">
        <v>4000</v>
      </c>
      <c r="N114" s="302"/>
    </row>
    <row r="115" spans="1:14" s="39" customFormat="1" ht="38.25">
      <c r="A115" s="299"/>
      <c r="B115" s="299"/>
      <c r="C115" s="300">
        <v>4700</v>
      </c>
      <c r="D115" s="301" t="s">
        <v>606</v>
      </c>
      <c r="E115" s="302">
        <f t="shared" si="18"/>
        <v>5000</v>
      </c>
      <c r="F115" s="302">
        <f t="shared" si="19"/>
        <v>5000</v>
      </c>
      <c r="G115" s="302"/>
      <c r="H115" s="302"/>
      <c r="I115" s="302"/>
      <c r="J115" s="302"/>
      <c r="K115" s="302"/>
      <c r="L115" s="302"/>
      <c r="M115" s="302">
        <v>5000</v>
      </c>
      <c r="N115" s="302"/>
    </row>
    <row r="116" spans="1:14" s="62" customFormat="1" ht="12.75">
      <c r="A116" s="295"/>
      <c r="B116" s="295">
        <v>75020</v>
      </c>
      <c r="C116" s="296"/>
      <c r="D116" s="306" t="s">
        <v>425</v>
      </c>
      <c r="E116" s="298">
        <f t="shared" si="18"/>
        <v>7101150</v>
      </c>
      <c r="F116" s="298">
        <f t="shared" si="19"/>
        <v>6927150</v>
      </c>
      <c r="G116" s="298">
        <f aca="true" t="shared" si="25" ref="G116:N116">SUM(G117:G147)</f>
        <v>3250500</v>
      </c>
      <c r="H116" s="298">
        <f t="shared" si="25"/>
        <v>222000</v>
      </c>
      <c r="I116" s="298">
        <f t="shared" si="25"/>
        <v>582000</v>
      </c>
      <c r="J116" s="298">
        <f t="shared" si="25"/>
        <v>0</v>
      </c>
      <c r="K116" s="298">
        <f t="shared" si="25"/>
        <v>0</v>
      </c>
      <c r="L116" s="298">
        <f t="shared" si="25"/>
        <v>0</v>
      </c>
      <c r="M116" s="298">
        <f t="shared" si="25"/>
        <v>2872650</v>
      </c>
      <c r="N116" s="298">
        <f t="shared" si="25"/>
        <v>174000</v>
      </c>
    </row>
    <row r="117" spans="1:14" s="39" customFormat="1" ht="76.5">
      <c r="A117" s="299"/>
      <c r="B117" s="299"/>
      <c r="C117" s="300">
        <v>2900</v>
      </c>
      <c r="D117" s="301" t="s">
        <v>435</v>
      </c>
      <c r="E117" s="302">
        <f t="shared" si="18"/>
        <v>7800</v>
      </c>
      <c r="F117" s="302">
        <f t="shared" si="19"/>
        <v>7800</v>
      </c>
      <c r="G117" s="302"/>
      <c r="H117" s="302"/>
      <c r="I117" s="302"/>
      <c r="J117" s="302"/>
      <c r="K117" s="302"/>
      <c r="L117" s="302"/>
      <c r="M117" s="302">
        <v>7800</v>
      </c>
      <c r="N117" s="302"/>
    </row>
    <row r="118" spans="1:14" s="39" customFormat="1" ht="25.5">
      <c r="A118" s="310"/>
      <c r="B118" s="290"/>
      <c r="C118" s="300">
        <v>3020</v>
      </c>
      <c r="D118" s="301" t="s">
        <v>607</v>
      </c>
      <c r="E118" s="302">
        <f t="shared" si="18"/>
        <v>7600</v>
      </c>
      <c r="F118" s="302">
        <f t="shared" si="19"/>
        <v>7600</v>
      </c>
      <c r="G118" s="302"/>
      <c r="H118" s="302"/>
      <c r="I118" s="302"/>
      <c r="J118" s="302"/>
      <c r="K118" s="302"/>
      <c r="L118" s="302"/>
      <c r="M118" s="302">
        <v>7600</v>
      </c>
      <c r="N118" s="302"/>
    </row>
    <row r="119" spans="1:14" s="39" customFormat="1" ht="12.75">
      <c r="A119" s="310"/>
      <c r="B119" s="290"/>
      <c r="C119" s="300">
        <v>3250</v>
      </c>
      <c r="D119" s="301" t="s">
        <v>436</v>
      </c>
      <c r="E119" s="302">
        <f t="shared" si="18"/>
        <v>13000</v>
      </c>
      <c r="F119" s="302">
        <f t="shared" si="19"/>
        <v>13000</v>
      </c>
      <c r="G119" s="302"/>
      <c r="H119" s="302"/>
      <c r="I119" s="302"/>
      <c r="J119" s="302"/>
      <c r="K119" s="302"/>
      <c r="L119" s="302"/>
      <c r="M119" s="302">
        <v>13000</v>
      </c>
      <c r="N119" s="302"/>
    </row>
    <row r="120" spans="1:14" s="39" customFormat="1" ht="25.5">
      <c r="A120" s="310"/>
      <c r="B120" s="290"/>
      <c r="C120" s="251">
        <v>4010</v>
      </c>
      <c r="D120" s="301" t="s">
        <v>374</v>
      </c>
      <c r="E120" s="302">
        <f t="shared" si="18"/>
        <v>3250500</v>
      </c>
      <c r="F120" s="302">
        <f t="shared" si="19"/>
        <v>3250500</v>
      </c>
      <c r="G120" s="302">
        <v>3250500</v>
      </c>
      <c r="H120" s="302"/>
      <c r="I120" s="302"/>
      <c r="J120" s="302"/>
      <c r="K120" s="302"/>
      <c r="L120" s="302"/>
      <c r="M120" s="302"/>
      <c r="N120" s="302"/>
    </row>
    <row r="121" spans="1:14" s="39" customFormat="1" ht="25.5">
      <c r="A121" s="310"/>
      <c r="B121" s="290"/>
      <c r="C121" s="300">
        <v>4040</v>
      </c>
      <c r="D121" s="301" t="s">
        <v>375</v>
      </c>
      <c r="E121" s="302">
        <f t="shared" si="18"/>
        <v>222000</v>
      </c>
      <c r="F121" s="302">
        <f t="shared" si="19"/>
        <v>222000</v>
      </c>
      <c r="G121" s="302"/>
      <c r="H121" s="302">
        <v>222000</v>
      </c>
      <c r="I121" s="302"/>
      <c r="J121" s="302"/>
      <c r="K121" s="302"/>
      <c r="L121" s="302"/>
      <c r="M121" s="302"/>
      <c r="N121" s="302"/>
    </row>
    <row r="122" spans="1:14" s="39" customFormat="1" ht="25.5">
      <c r="A122" s="310"/>
      <c r="B122" s="290"/>
      <c r="C122" s="300">
        <v>4110</v>
      </c>
      <c r="D122" s="301" t="s">
        <v>376</v>
      </c>
      <c r="E122" s="302">
        <f t="shared" si="18"/>
        <v>501000</v>
      </c>
      <c r="F122" s="302">
        <f t="shared" si="19"/>
        <v>501000</v>
      </c>
      <c r="G122" s="302"/>
      <c r="H122" s="302"/>
      <c r="I122" s="302">
        <v>501000</v>
      </c>
      <c r="J122" s="302"/>
      <c r="K122" s="302"/>
      <c r="L122" s="302"/>
      <c r="M122" s="302"/>
      <c r="N122" s="302"/>
    </row>
    <row r="123" spans="1:14" s="39" customFormat="1" ht="12.75">
      <c r="A123" s="310"/>
      <c r="B123" s="290"/>
      <c r="C123" s="300">
        <v>4120</v>
      </c>
      <c r="D123" s="301" t="s">
        <v>377</v>
      </c>
      <c r="E123" s="302">
        <f t="shared" si="18"/>
        <v>81000</v>
      </c>
      <c r="F123" s="302">
        <f t="shared" si="19"/>
        <v>81000</v>
      </c>
      <c r="G123" s="302"/>
      <c r="H123" s="302"/>
      <c r="I123" s="302">
        <v>81000</v>
      </c>
      <c r="J123" s="302"/>
      <c r="K123" s="302"/>
      <c r="L123" s="302"/>
      <c r="M123" s="302"/>
      <c r="N123" s="302"/>
    </row>
    <row r="124" spans="1:14" s="39" customFormat="1" ht="12.75">
      <c r="A124" s="310"/>
      <c r="B124" s="290"/>
      <c r="C124" s="300">
        <v>4140</v>
      </c>
      <c r="D124" s="301" t="s">
        <v>103</v>
      </c>
      <c r="E124" s="302">
        <f t="shared" si="18"/>
        <v>2000</v>
      </c>
      <c r="F124" s="302">
        <f t="shared" si="19"/>
        <v>2000</v>
      </c>
      <c r="G124" s="302"/>
      <c r="H124" s="302"/>
      <c r="I124" s="302"/>
      <c r="J124" s="302"/>
      <c r="K124" s="302"/>
      <c r="L124" s="302"/>
      <c r="M124" s="302">
        <v>2000</v>
      </c>
      <c r="N124" s="302"/>
    </row>
    <row r="125" spans="1:14" s="39" customFormat="1" ht="12.75">
      <c r="A125" s="310"/>
      <c r="B125" s="290"/>
      <c r="C125" s="300">
        <v>4170</v>
      </c>
      <c r="D125" s="301" t="s">
        <v>413</v>
      </c>
      <c r="E125" s="302">
        <f t="shared" si="18"/>
        <v>5300</v>
      </c>
      <c r="F125" s="302">
        <f t="shared" si="19"/>
        <v>5300</v>
      </c>
      <c r="G125" s="302"/>
      <c r="H125" s="302"/>
      <c r="I125" s="302"/>
      <c r="J125" s="302"/>
      <c r="K125" s="302"/>
      <c r="L125" s="302"/>
      <c r="M125" s="302">
        <v>5300</v>
      </c>
      <c r="N125" s="302"/>
    </row>
    <row r="126" spans="1:14" s="39" customFormat="1" ht="25.5">
      <c r="A126" s="310"/>
      <c r="B126" s="290"/>
      <c r="C126" s="300">
        <v>4210</v>
      </c>
      <c r="D126" s="301" t="s">
        <v>379</v>
      </c>
      <c r="E126" s="302">
        <f t="shared" si="18"/>
        <v>898600</v>
      </c>
      <c r="F126" s="302">
        <f t="shared" si="19"/>
        <v>898600</v>
      </c>
      <c r="G126" s="302"/>
      <c r="H126" s="302"/>
      <c r="I126" s="302"/>
      <c r="J126" s="302"/>
      <c r="K126" s="302"/>
      <c r="L126" s="302"/>
      <c r="M126" s="302">
        <v>898600</v>
      </c>
      <c r="N126" s="302"/>
    </row>
    <row r="127" spans="1:14" s="39" customFormat="1" ht="38.25">
      <c r="A127" s="310"/>
      <c r="B127" s="290"/>
      <c r="C127" s="300">
        <v>4230</v>
      </c>
      <c r="D127" s="301" t="s">
        <v>636</v>
      </c>
      <c r="E127" s="302">
        <f t="shared" si="18"/>
        <v>2000</v>
      </c>
      <c r="F127" s="302">
        <f t="shared" si="19"/>
        <v>2000</v>
      </c>
      <c r="G127" s="302"/>
      <c r="H127" s="302"/>
      <c r="I127" s="302"/>
      <c r="J127" s="302"/>
      <c r="K127" s="302"/>
      <c r="L127" s="302"/>
      <c r="M127" s="302">
        <v>2000</v>
      </c>
      <c r="N127" s="302"/>
    </row>
    <row r="128" spans="1:14" s="39" customFormat="1" ht="12.75">
      <c r="A128" s="310"/>
      <c r="B128" s="290"/>
      <c r="C128" s="300">
        <v>4260</v>
      </c>
      <c r="D128" s="301" t="s">
        <v>380</v>
      </c>
      <c r="E128" s="302">
        <f t="shared" si="18"/>
        <v>188000</v>
      </c>
      <c r="F128" s="302">
        <f t="shared" si="19"/>
        <v>188000</v>
      </c>
      <c r="G128" s="302"/>
      <c r="H128" s="302"/>
      <c r="I128" s="302"/>
      <c r="J128" s="302"/>
      <c r="K128" s="302"/>
      <c r="L128" s="302"/>
      <c r="M128" s="302">
        <v>188000</v>
      </c>
      <c r="N128" s="302"/>
    </row>
    <row r="129" spans="1:14" s="39" customFormat="1" ht="12.75">
      <c r="A129" s="290"/>
      <c r="B129" s="290"/>
      <c r="C129" s="300">
        <v>4270</v>
      </c>
      <c r="D129" s="301" t="s">
        <v>381</v>
      </c>
      <c r="E129" s="302">
        <f t="shared" si="18"/>
        <v>69350</v>
      </c>
      <c r="F129" s="302">
        <f t="shared" si="19"/>
        <v>69350</v>
      </c>
      <c r="G129" s="302"/>
      <c r="H129" s="302"/>
      <c r="I129" s="302"/>
      <c r="J129" s="302"/>
      <c r="K129" s="302"/>
      <c r="L129" s="302"/>
      <c r="M129" s="302">
        <v>69350</v>
      </c>
      <c r="N129" s="302"/>
    </row>
    <row r="130" spans="1:14" s="39" customFormat="1" ht="12.75">
      <c r="A130" s="290"/>
      <c r="B130" s="290"/>
      <c r="C130" s="300">
        <v>4280</v>
      </c>
      <c r="D130" s="314" t="s">
        <v>382</v>
      </c>
      <c r="E130" s="302">
        <f t="shared" si="18"/>
        <v>2000</v>
      </c>
      <c r="F130" s="302">
        <f t="shared" si="19"/>
        <v>2000</v>
      </c>
      <c r="G130" s="302"/>
      <c r="H130" s="302"/>
      <c r="I130" s="302"/>
      <c r="J130" s="302"/>
      <c r="K130" s="302"/>
      <c r="L130" s="302"/>
      <c r="M130" s="302">
        <v>2000</v>
      </c>
      <c r="N130" s="302"/>
    </row>
    <row r="131" spans="1:14" s="39" customFormat="1" ht="12.75">
      <c r="A131" s="290"/>
      <c r="B131" s="290"/>
      <c r="C131" s="300">
        <v>4300</v>
      </c>
      <c r="D131" s="301" t="s">
        <v>362</v>
      </c>
      <c r="E131" s="302">
        <f t="shared" si="18"/>
        <v>598700</v>
      </c>
      <c r="F131" s="302">
        <f t="shared" si="19"/>
        <v>598700</v>
      </c>
      <c r="G131" s="302"/>
      <c r="H131" s="302"/>
      <c r="I131" s="302"/>
      <c r="J131" s="302"/>
      <c r="K131" s="302"/>
      <c r="L131" s="302"/>
      <c r="M131" s="302">
        <v>598700</v>
      </c>
      <c r="N131" s="302"/>
    </row>
    <row r="132" spans="1:14" s="39" customFormat="1" ht="25.5">
      <c r="A132" s="290"/>
      <c r="B132" s="290"/>
      <c r="C132" s="300">
        <v>4350</v>
      </c>
      <c r="D132" s="301" t="s">
        <v>383</v>
      </c>
      <c r="E132" s="302">
        <f t="shared" si="18"/>
        <v>7000</v>
      </c>
      <c r="F132" s="302">
        <f t="shared" si="19"/>
        <v>7000</v>
      </c>
      <c r="G132" s="302"/>
      <c r="H132" s="302"/>
      <c r="I132" s="302"/>
      <c r="J132" s="302"/>
      <c r="K132" s="302"/>
      <c r="L132" s="302"/>
      <c r="M132" s="302">
        <v>7000</v>
      </c>
      <c r="N132" s="302"/>
    </row>
    <row r="133" spans="1:14" s="39" customFormat="1" ht="38.25">
      <c r="A133" s="290"/>
      <c r="B133" s="290"/>
      <c r="C133" s="300">
        <v>4360</v>
      </c>
      <c r="D133" s="301" t="s">
        <v>604</v>
      </c>
      <c r="E133" s="302">
        <f t="shared" si="18"/>
        <v>22000</v>
      </c>
      <c r="F133" s="302">
        <f t="shared" si="19"/>
        <v>22000</v>
      </c>
      <c r="G133" s="302"/>
      <c r="H133" s="302"/>
      <c r="I133" s="302"/>
      <c r="J133" s="302"/>
      <c r="K133" s="302"/>
      <c r="L133" s="302"/>
      <c r="M133" s="302">
        <v>22000</v>
      </c>
      <c r="N133" s="302"/>
    </row>
    <row r="134" spans="1:14" s="39" customFormat="1" ht="38.25">
      <c r="A134" s="290"/>
      <c r="B134" s="290"/>
      <c r="C134" s="300">
        <v>4370</v>
      </c>
      <c r="D134" s="301" t="s">
        <v>605</v>
      </c>
      <c r="E134" s="302">
        <f t="shared" si="18"/>
        <v>41000</v>
      </c>
      <c r="F134" s="302">
        <f t="shared" si="19"/>
        <v>41000</v>
      </c>
      <c r="G134" s="302"/>
      <c r="H134" s="302"/>
      <c r="I134" s="302"/>
      <c r="J134" s="302"/>
      <c r="K134" s="302"/>
      <c r="L134" s="302"/>
      <c r="M134" s="302">
        <v>41000</v>
      </c>
      <c r="N134" s="302"/>
    </row>
    <row r="135" spans="1:14" s="39" customFormat="1" ht="38.25">
      <c r="A135" s="290"/>
      <c r="B135" s="290"/>
      <c r="C135" s="300">
        <v>4380</v>
      </c>
      <c r="D135" s="301" t="s">
        <v>603</v>
      </c>
      <c r="E135" s="302">
        <f t="shared" si="18"/>
        <v>1200</v>
      </c>
      <c r="F135" s="302">
        <f t="shared" si="19"/>
        <v>1200</v>
      </c>
      <c r="G135" s="302"/>
      <c r="H135" s="302"/>
      <c r="I135" s="302"/>
      <c r="J135" s="302"/>
      <c r="K135" s="302"/>
      <c r="L135" s="302"/>
      <c r="M135" s="302">
        <v>1200</v>
      </c>
      <c r="N135" s="302"/>
    </row>
    <row r="136" spans="1:14" s="39" customFormat="1" ht="38.25">
      <c r="A136" s="290"/>
      <c r="B136" s="290"/>
      <c r="C136" s="300">
        <v>4400</v>
      </c>
      <c r="D136" s="301" t="s">
        <v>106</v>
      </c>
      <c r="E136" s="302">
        <f t="shared" si="18"/>
        <v>802000</v>
      </c>
      <c r="F136" s="302">
        <f t="shared" si="19"/>
        <v>802000</v>
      </c>
      <c r="G136" s="302"/>
      <c r="H136" s="302"/>
      <c r="I136" s="302"/>
      <c r="J136" s="302"/>
      <c r="K136" s="302"/>
      <c r="L136" s="302"/>
      <c r="M136" s="302">
        <v>802000</v>
      </c>
      <c r="N136" s="302"/>
    </row>
    <row r="137" spans="1:14" s="39" customFormat="1" ht="12.75">
      <c r="A137" s="290"/>
      <c r="B137" s="290"/>
      <c r="C137" s="300">
        <v>4410</v>
      </c>
      <c r="D137" s="301" t="s">
        <v>388</v>
      </c>
      <c r="E137" s="302">
        <f t="shared" si="18"/>
        <v>23000</v>
      </c>
      <c r="F137" s="302">
        <f t="shared" si="19"/>
        <v>23000</v>
      </c>
      <c r="G137" s="302"/>
      <c r="H137" s="302"/>
      <c r="I137" s="302"/>
      <c r="J137" s="302"/>
      <c r="K137" s="302"/>
      <c r="L137" s="302"/>
      <c r="M137" s="302">
        <v>23000</v>
      </c>
      <c r="N137" s="302"/>
    </row>
    <row r="138" spans="1:14" s="39" customFormat="1" ht="25.5">
      <c r="A138" s="290"/>
      <c r="B138" s="290"/>
      <c r="C138" s="300">
        <v>4420</v>
      </c>
      <c r="D138" s="301" t="s">
        <v>102</v>
      </c>
      <c r="E138" s="302">
        <f t="shared" si="18"/>
        <v>4000</v>
      </c>
      <c r="F138" s="302">
        <f>SUM(G138:M138)</f>
        <v>4000</v>
      </c>
      <c r="G138" s="302"/>
      <c r="H138" s="302"/>
      <c r="I138" s="302"/>
      <c r="J138" s="302"/>
      <c r="K138" s="302"/>
      <c r="L138" s="302"/>
      <c r="M138" s="302">
        <v>4000</v>
      </c>
      <c r="N138" s="302"/>
    </row>
    <row r="139" spans="1:14" s="39" customFormat="1" ht="12.75">
      <c r="A139" s="290"/>
      <c r="B139" s="290"/>
      <c r="C139" s="300">
        <v>4430</v>
      </c>
      <c r="D139" s="301" t="s">
        <v>389</v>
      </c>
      <c r="E139" s="302">
        <f t="shared" si="18"/>
        <v>12000</v>
      </c>
      <c r="F139" s="302">
        <f t="shared" si="19"/>
        <v>12000</v>
      </c>
      <c r="G139" s="302"/>
      <c r="H139" s="302"/>
      <c r="I139" s="302"/>
      <c r="J139" s="302"/>
      <c r="K139" s="302"/>
      <c r="L139" s="302"/>
      <c r="M139" s="302">
        <v>12000</v>
      </c>
      <c r="N139" s="302"/>
    </row>
    <row r="140" spans="1:14" s="39" customFormat="1" ht="25.5">
      <c r="A140" s="290"/>
      <c r="B140" s="290"/>
      <c r="C140" s="300">
        <v>4440</v>
      </c>
      <c r="D140" s="301" t="s">
        <v>390</v>
      </c>
      <c r="E140" s="302">
        <f t="shared" si="18"/>
        <v>74400</v>
      </c>
      <c r="F140" s="302">
        <f t="shared" si="19"/>
        <v>74400</v>
      </c>
      <c r="G140" s="302"/>
      <c r="H140" s="302"/>
      <c r="I140" s="302"/>
      <c r="J140" s="302"/>
      <c r="K140" s="302"/>
      <c r="L140" s="302"/>
      <c r="M140" s="302">
        <v>74400</v>
      </c>
      <c r="N140" s="302"/>
    </row>
    <row r="141" spans="1:14" s="39" customFormat="1" ht="25.5">
      <c r="A141" s="290"/>
      <c r="B141" s="290"/>
      <c r="C141" s="300">
        <v>4510</v>
      </c>
      <c r="D141" s="301" t="s">
        <v>643</v>
      </c>
      <c r="E141" s="302">
        <f>F141+N141</f>
        <v>500</v>
      </c>
      <c r="F141" s="302">
        <f>SUM(G141:M141)</f>
        <v>500</v>
      </c>
      <c r="G141" s="302"/>
      <c r="H141" s="302"/>
      <c r="I141" s="302"/>
      <c r="J141" s="302"/>
      <c r="K141" s="302"/>
      <c r="L141" s="302"/>
      <c r="M141" s="302">
        <v>500</v>
      </c>
      <c r="N141" s="302"/>
    </row>
    <row r="142" spans="1:14" s="39" customFormat="1" ht="38.25">
      <c r="A142" s="290"/>
      <c r="B142" s="290"/>
      <c r="C142" s="300">
        <v>4700</v>
      </c>
      <c r="D142" s="301" t="s">
        <v>606</v>
      </c>
      <c r="E142" s="302">
        <f t="shared" si="18"/>
        <v>25000</v>
      </c>
      <c r="F142" s="302">
        <f t="shared" si="19"/>
        <v>25000</v>
      </c>
      <c r="G142" s="302"/>
      <c r="H142" s="302"/>
      <c r="I142" s="302"/>
      <c r="J142" s="302"/>
      <c r="K142" s="302"/>
      <c r="L142" s="302"/>
      <c r="M142" s="302">
        <v>25000</v>
      </c>
      <c r="N142" s="302"/>
    </row>
    <row r="143" spans="1:14" s="39" customFormat="1" ht="51">
      <c r="A143" s="290"/>
      <c r="B143" s="290"/>
      <c r="C143" s="300">
        <v>4740</v>
      </c>
      <c r="D143" s="301" t="s">
        <v>416</v>
      </c>
      <c r="E143" s="302">
        <f t="shared" si="18"/>
        <v>16000</v>
      </c>
      <c r="F143" s="302">
        <f t="shared" si="19"/>
        <v>16000</v>
      </c>
      <c r="G143" s="302"/>
      <c r="H143" s="302"/>
      <c r="I143" s="302"/>
      <c r="J143" s="302"/>
      <c r="K143" s="302"/>
      <c r="L143" s="302"/>
      <c r="M143" s="302">
        <v>16000</v>
      </c>
      <c r="N143" s="302"/>
    </row>
    <row r="144" spans="1:14" s="39" customFormat="1" ht="45" customHeight="1">
      <c r="A144" s="290"/>
      <c r="B144" s="290"/>
      <c r="C144" s="300">
        <v>4750</v>
      </c>
      <c r="D144" s="301" t="s">
        <v>417</v>
      </c>
      <c r="E144" s="302">
        <f t="shared" si="18"/>
        <v>50000</v>
      </c>
      <c r="F144" s="302">
        <f t="shared" si="19"/>
        <v>50000</v>
      </c>
      <c r="G144" s="302"/>
      <c r="H144" s="302"/>
      <c r="I144" s="302"/>
      <c r="J144" s="302"/>
      <c r="K144" s="302"/>
      <c r="L144" s="302"/>
      <c r="M144" s="302">
        <v>50000</v>
      </c>
      <c r="N144" s="302"/>
    </row>
    <row r="145" spans="1:14" s="39" customFormat="1" ht="25.5">
      <c r="A145" s="290"/>
      <c r="B145" s="290"/>
      <c r="C145" s="300">
        <v>4610</v>
      </c>
      <c r="D145" s="301" t="s">
        <v>398</v>
      </c>
      <c r="E145" s="302">
        <f t="shared" si="18"/>
        <v>200</v>
      </c>
      <c r="F145" s="302">
        <f t="shared" si="19"/>
        <v>200</v>
      </c>
      <c r="G145" s="302"/>
      <c r="H145" s="302"/>
      <c r="I145" s="302"/>
      <c r="J145" s="302"/>
      <c r="K145" s="302"/>
      <c r="L145" s="302"/>
      <c r="M145" s="302">
        <v>200</v>
      </c>
      <c r="N145" s="302"/>
    </row>
    <row r="146" spans="1:14" s="39" customFormat="1" ht="25.5">
      <c r="A146" s="290"/>
      <c r="B146" s="290"/>
      <c r="C146" s="300">
        <v>6050</v>
      </c>
      <c r="D146" s="308" t="s">
        <v>438</v>
      </c>
      <c r="E146" s="302">
        <f t="shared" si="18"/>
        <v>132000</v>
      </c>
      <c r="F146" s="302">
        <f t="shared" si="19"/>
        <v>0</v>
      </c>
      <c r="G146" s="302"/>
      <c r="H146" s="302"/>
      <c r="I146" s="302"/>
      <c r="J146" s="302"/>
      <c r="K146" s="302"/>
      <c r="L146" s="302"/>
      <c r="M146" s="302"/>
      <c r="N146" s="302">
        <v>132000</v>
      </c>
    </row>
    <row r="147" spans="1:14" s="39" customFormat="1" ht="38.25">
      <c r="A147" s="290"/>
      <c r="B147" s="290"/>
      <c r="C147" s="300">
        <v>6060</v>
      </c>
      <c r="D147" s="308" t="s">
        <v>608</v>
      </c>
      <c r="E147" s="302">
        <f t="shared" si="18"/>
        <v>42000</v>
      </c>
      <c r="F147" s="302">
        <f t="shared" si="19"/>
        <v>0</v>
      </c>
      <c r="G147" s="302"/>
      <c r="H147" s="302"/>
      <c r="I147" s="302"/>
      <c r="J147" s="302"/>
      <c r="K147" s="302"/>
      <c r="L147" s="302"/>
      <c r="M147" s="302"/>
      <c r="N147" s="302">
        <v>42000</v>
      </c>
    </row>
    <row r="148" spans="1:14" s="62" customFormat="1" ht="12.75">
      <c r="A148" s="295"/>
      <c r="B148" s="295">
        <v>75045</v>
      </c>
      <c r="C148" s="296"/>
      <c r="D148" s="306" t="s">
        <v>439</v>
      </c>
      <c r="E148" s="298">
        <f t="shared" si="18"/>
        <v>65500</v>
      </c>
      <c r="F148" s="298">
        <f t="shared" si="19"/>
        <v>65500</v>
      </c>
      <c r="G148" s="298">
        <f>SUM(G149:G162)</f>
        <v>0</v>
      </c>
      <c r="H148" s="298">
        <f aca="true" t="shared" si="26" ref="H148:N148">SUM(H149:H162)</f>
        <v>0</v>
      </c>
      <c r="I148" s="298">
        <f t="shared" si="26"/>
        <v>900</v>
      </c>
      <c r="J148" s="298">
        <f t="shared" si="26"/>
        <v>0</v>
      </c>
      <c r="K148" s="298">
        <f t="shared" si="26"/>
        <v>0</v>
      </c>
      <c r="L148" s="298">
        <f t="shared" si="26"/>
        <v>0</v>
      </c>
      <c r="M148" s="298">
        <f t="shared" si="26"/>
        <v>64600</v>
      </c>
      <c r="N148" s="298">
        <f t="shared" si="26"/>
        <v>0</v>
      </c>
    </row>
    <row r="149" spans="1:14" s="39" customFormat="1" ht="25.5">
      <c r="A149" s="290"/>
      <c r="B149" s="290"/>
      <c r="C149" s="300">
        <v>3030</v>
      </c>
      <c r="D149" s="301" t="s">
        <v>423</v>
      </c>
      <c r="E149" s="302">
        <f t="shared" si="18"/>
        <v>11000</v>
      </c>
      <c r="F149" s="302">
        <f t="shared" si="19"/>
        <v>11000</v>
      </c>
      <c r="G149" s="302"/>
      <c r="H149" s="302"/>
      <c r="I149" s="302"/>
      <c r="J149" s="302"/>
      <c r="K149" s="302"/>
      <c r="L149" s="302"/>
      <c r="M149" s="302">
        <v>11000</v>
      </c>
      <c r="N149" s="302"/>
    </row>
    <row r="150" spans="1:14" s="39" customFormat="1" ht="25.5">
      <c r="A150" s="290"/>
      <c r="B150" s="290"/>
      <c r="C150" s="300">
        <v>4110</v>
      </c>
      <c r="D150" s="301" t="s">
        <v>376</v>
      </c>
      <c r="E150" s="302">
        <f t="shared" si="18"/>
        <v>800</v>
      </c>
      <c r="F150" s="302">
        <f t="shared" si="19"/>
        <v>800</v>
      </c>
      <c r="G150" s="302"/>
      <c r="H150" s="302"/>
      <c r="I150" s="302">
        <v>800</v>
      </c>
      <c r="J150" s="302"/>
      <c r="K150" s="302"/>
      <c r="L150" s="302"/>
      <c r="M150" s="302"/>
      <c r="N150" s="302"/>
    </row>
    <row r="151" spans="1:14" s="39" customFormat="1" ht="36" customHeight="1">
      <c r="A151" s="290"/>
      <c r="B151" s="290"/>
      <c r="C151" s="300">
        <v>4170</v>
      </c>
      <c r="D151" s="301" t="s">
        <v>413</v>
      </c>
      <c r="E151" s="302">
        <f t="shared" si="18"/>
        <v>5900</v>
      </c>
      <c r="F151" s="302">
        <f t="shared" si="19"/>
        <v>5900</v>
      </c>
      <c r="G151" s="302"/>
      <c r="H151" s="302"/>
      <c r="I151" s="302"/>
      <c r="J151" s="302"/>
      <c r="K151" s="302"/>
      <c r="L151" s="302"/>
      <c r="M151" s="302">
        <v>5900</v>
      </c>
      <c r="N151" s="302"/>
    </row>
    <row r="152" spans="1:14" s="39" customFormat="1" ht="12.75">
      <c r="A152" s="290"/>
      <c r="B152" s="290"/>
      <c r="C152" s="300">
        <v>4120</v>
      </c>
      <c r="D152" s="301" t="s">
        <v>377</v>
      </c>
      <c r="E152" s="302">
        <f t="shared" si="18"/>
        <v>100</v>
      </c>
      <c r="F152" s="302">
        <f t="shared" si="19"/>
        <v>100</v>
      </c>
      <c r="G152" s="302"/>
      <c r="H152" s="302"/>
      <c r="I152" s="302">
        <v>100</v>
      </c>
      <c r="J152" s="302"/>
      <c r="K152" s="302"/>
      <c r="L152" s="302"/>
      <c r="M152" s="302"/>
      <c r="N152" s="302"/>
    </row>
    <row r="153" spans="1:14" s="39" customFormat="1" ht="25.5">
      <c r="A153" s="290"/>
      <c r="B153" s="290"/>
      <c r="C153" s="300">
        <v>4210</v>
      </c>
      <c r="D153" s="301" t="s">
        <v>379</v>
      </c>
      <c r="E153" s="302">
        <f t="shared" si="18"/>
        <v>10400</v>
      </c>
      <c r="F153" s="302">
        <f t="shared" si="19"/>
        <v>10400</v>
      </c>
      <c r="G153" s="302"/>
      <c r="H153" s="302"/>
      <c r="I153" s="302"/>
      <c r="J153" s="302"/>
      <c r="K153" s="302"/>
      <c r="L153" s="302"/>
      <c r="M153" s="302">
        <v>10400</v>
      </c>
      <c r="N153" s="302"/>
    </row>
    <row r="154" spans="1:14" s="39" customFormat="1" ht="38.25">
      <c r="A154" s="290"/>
      <c r="B154" s="290"/>
      <c r="C154" s="300">
        <v>4230</v>
      </c>
      <c r="D154" s="301" t="s">
        <v>104</v>
      </c>
      <c r="E154" s="302">
        <f t="shared" si="18"/>
        <v>300</v>
      </c>
      <c r="F154" s="302">
        <f t="shared" si="19"/>
        <v>300</v>
      </c>
      <c r="G154" s="302"/>
      <c r="H154" s="302"/>
      <c r="I154" s="302"/>
      <c r="J154" s="302"/>
      <c r="K154" s="302"/>
      <c r="L154" s="302"/>
      <c r="M154" s="302">
        <v>300</v>
      </c>
      <c r="N154" s="302"/>
    </row>
    <row r="155" spans="1:14" s="39" customFormat="1" ht="12.75">
      <c r="A155" s="290"/>
      <c r="B155" s="290"/>
      <c r="C155" s="300">
        <v>4270</v>
      </c>
      <c r="D155" s="301" t="s">
        <v>381</v>
      </c>
      <c r="E155" s="302">
        <f t="shared" si="18"/>
        <v>800</v>
      </c>
      <c r="F155" s="302">
        <f t="shared" si="19"/>
        <v>800</v>
      </c>
      <c r="G155" s="302"/>
      <c r="H155" s="302"/>
      <c r="I155" s="302"/>
      <c r="J155" s="302"/>
      <c r="K155" s="302"/>
      <c r="L155" s="302"/>
      <c r="M155" s="302">
        <v>800</v>
      </c>
      <c r="N155" s="302"/>
    </row>
    <row r="156" spans="1:14" s="39" customFormat="1" ht="12.75">
      <c r="A156" s="290"/>
      <c r="B156" s="290"/>
      <c r="C156" s="300">
        <v>4280</v>
      </c>
      <c r="D156" s="301" t="s">
        <v>414</v>
      </c>
      <c r="E156" s="302">
        <f t="shared" si="18"/>
        <v>28000</v>
      </c>
      <c r="F156" s="302">
        <f t="shared" si="19"/>
        <v>28000</v>
      </c>
      <c r="G156" s="302"/>
      <c r="H156" s="302"/>
      <c r="I156" s="302"/>
      <c r="J156" s="302"/>
      <c r="K156" s="302"/>
      <c r="L156" s="302"/>
      <c r="M156" s="302">
        <v>28000</v>
      </c>
      <c r="N156" s="302"/>
    </row>
    <row r="157" spans="1:14" s="39" customFormat="1" ht="61.5" customHeight="1">
      <c r="A157" s="290"/>
      <c r="B157" s="290"/>
      <c r="C157" s="300">
        <v>4400</v>
      </c>
      <c r="D157" s="301" t="s">
        <v>106</v>
      </c>
      <c r="E157" s="302">
        <f t="shared" si="18"/>
        <v>4650</v>
      </c>
      <c r="F157" s="302">
        <f t="shared" si="19"/>
        <v>4650</v>
      </c>
      <c r="G157" s="302"/>
      <c r="H157" s="302"/>
      <c r="I157" s="302"/>
      <c r="J157" s="302"/>
      <c r="K157" s="302"/>
      <c r="L157" s="302"/>
      <c r="M157" s="302">
        <v>4650</v>
      </c>
      <c r="N157" s="302"/>
    </row>
    <row r="158" spans="1:14" s="39" customFormat="1" ht="12.75">
      <c r="A158" s="290"/>
      <c r="B158" s="290"/>
      <c r="C158" s="300">
        <v>4300</v>
      </c>
      <c r="D158" s="301" t="s">
        <v>362</v>
      </c>
      <c r="E158" s="302">
        <f aca="true" t="shared" si="27" ref="E158:E224">F158+N158</f>
        <v>600</v>
      </c>
      <c r="F158" s="302">
        <f aca="true" t="shared" si="28" ref="F158:F224">SUM(G158:M158)</f>
        <v>600</v>
      </c>
      <c r="G158" s="302"/>
      <c r="H158" s="302"/>
      <c r="I158" s="302"/>
      <c r="J158" s="302"/>
      <c r="K158" s="302"/>
      <c r="L158" s="302"/>
      <c r="M158" s="302">
        <v>600</v>
      </c>
      <c r="N158" s="302"/>
    </row>
    <row r="159" spans="1:14" s="39" customFormat="1" ht="38.25">
      <c r="A159" s="290"/>
      <c r="B159" s="290"/>
      <c r="C159" s="300">
        <v>4370</v>
      </c>
      <c r="D159" s="301" t="s">
        <v>609</v>
      </c>
      <c r="E159" s="302">
        <f>F159+N159</f>
        <v>300</v>
      </c>
      <c r="F159" s="302">
        <f>SUM(G159:M159)</f>
        <v>300</v>
      </c>
      <c r="G159" s="302"/>
      <c r="H159" s="302"/>
      <c r="I159" s="302"/>
      <c r="J159" s="302"/>
      <c r="K159" s="302"/>
      <c r="L159" s="302"/>
      <c r="M159" s="302">
        <v>300</v>
      </c>
      <c r="N159" s="302"/>
    </row>
    <row r="160" spans="1:14" s="39" customFormat="1" ht="12.75">
      <c r="A160" s="290"/>
      <c r="B160" s="290"/>
      <c r="C160" s="300">
        <v>4410</v>
      </c>
      <c r="D160" s="301" t="s">
        <v>388</v>
      </c>
      <c r="E160" s="302">
        <f>F160+N160</f>
        <v>0</v>
      </c>
      <c r="F160" s="302">
        <f>SUM(G160:M160)</f>
        <v>0</v>
      </c>
      <c r="G160" s="302"/>
      <c r="H160" s="302"/>
      <c r="I160" s="302"/>
      <c r="J160" s="302"/>
      <c r="K160" s="302"/>
      <c r="L160" s="302"/>
      <c r="M160" s="302"/>
      <c r="N160" s="302"/>
    </row>
    <row r="161" spans="1:14" s="39" customFormat="1" ht="38.25">
      <c r="A161" s="290"/>
      <c r="B161" s="290"/>
      <c r="C161" s="300">
        <v>4750</v>
      </c>
      <c r="D161" s="301" t="s">
        <v>417</v>
      </c>
      <c r="E161" s="302">
        <f t="shared" si="27"/>
        <v>2500</v>
      </c>
      <c r="F161" s="302">
        <f t="shared" si="28"/>
        <v>2500</v>
      </c>
      <c r="G161" s="302"/>
      <c r="H161" s="302"/>
      <c r="I161" s="302"/>
      <c r="J161" s="302"/>
      <c r="K161" s="302"/>
      <c r="L161" s="302"/>
      <c r="M161" s="302">
        <v>2500</v>
      </c>
      <c r="N161" s="302"/>
    </row>
    <row r="162" spans="1:14" s="39" customFormat="1" ht="51">
      <c r="A162" s="290"/>
      <c r="B162" s="290"/>
      <c r="C162" s="300">
        <v>4740</v>
      </c>
      <c r="D162" s="301" t="s">
        <v>416</v>
      </c>
      <c r="E162" s="302">
        <f t="shared" si="27"/>
        <v>150</v>
      </c>
      <c r="F162" s="302">
        <f t="shared" si="28"/>
        <v>150</v>
      </c>
      <c r="G162" s="302"/>
      <c r="H162" s="302"/>
      <c r="I162" s="302"/>
      <c r="J162" s="302"/>
      <c r="K162" s="302"/>
      <c r="L162" s="302"/>
      <c r="M162" s="302">
        <v>150</v>
      </c>
      <c r="N162" s="302"/>
    </row>
    <row r="163" spans="1:14" s="62" customFormat="1" ht="25.5">
      <c r="A163" s="295"/>
      <c r="B163" s="295">
        <v>75075</v>
      </c>
      <c r="C163" s="296"/>
      <c r="D163" s="306" t="s">
        <v>440</v>
      </c>
      <c r="E163" s="298">
        <f t="shared" si="27"/>
        <v>92000</v>
      </c>
      <c r="F163" s="298">
        <f t="shared" si="28"/>
        <v>92000</v>
      </c>
      <c r="G163" s="298">
        <f aca="true" t="shared" si="29" ref="G163:N163">SUM(G164:G165)</f>
        <v>0</v>
      </c>
      <c r="H163" s="298">
        <f t="shared" si="29"/>
        <v>0</v>
      </c>
      <c r="I163" s="298">
        <f t="shared" si="29"/>
        <v>0</v>
      </c>
      <c r="J163" s="298">
        <f t="shared" si="29"/>
        <v>0</v>
      </c>
      <c r="K163" s="298">
        <f t="shared" si="29"/>
        <v>0</v>
      </c>
      <c r="L163" s="298">
        <f t="shared" si="29"/>
        <v>0</v>
      </c>
      <c r="M163" s="298">
        <f t="shared" si="29"/>
        <v>92000</v>
      </c>
      <c r="N163" s="298">
        <f t="shared" si="29"/>
        <v>0</v>
      </c>
    </row>
    <row r="164" spans="1:14" s="39" customFormat="1" ht="25.5">
      <c r="A164" s="290"/>
      <c r="B164" s="290"/>
      <c r="C164" s="300">
        <v>4210</v>
      </c>
      <c r="D164" s="301" t="s">
        <v>379</v>
      </c>
      <c r="E164" s="302">
        <f t="shared" si="27"/>
        <v>12000</v>
      </c>
      <c r="F164" s="302">
        <f t="shared" si="28"/>
        <v>12000</v>
      </c>
      <c r="G164" s="302"/>
      <c r="H164" s="302"/>
      <c r="I164" s="302"/>
      <c r="J164" s="302"/>
      <c r="K164" s="302"/>
      <c r="L164" s="302"/>
      <c r="M164" s="302">
        <v>12000</v>
      </c>
      <c r="N164" s="302"/>
    </row>
    <row r="165" spans="1:14" s="39" customFormat="1" ht="12.75">
      <c r="A165" s="290"/>
      <c r="B165" s="290"/>
      <c r="C165" s="300">
        <v>4300</v>
      </c>
      <c r="D165" s="301" t="s">
        <v>362</v>
      </c>
      <c r="E165" s="302">
        <f t="shared" si="27"/>
        <v>80000</v>
      </c>
      <c r="F165" s="302">
        <f t="shared" si="28"/>
        <v>80000</v>
      </c>
      <c r="G165" s="302"/>
      <c r="H165" s="302"/>
      <c r="I165" s="302"/>
      <c r="J165" s="302"/>
      <c r="K165" s="302"/>
      <c r="L165" s="302"/>
      <c r="M165" s="302">
        <v>80000</v>
      </c>
      <c r="N165" s="302"/>
    </row>
    <row r="166" spans="1:14" s="294" customFormat="1" ht="12.75">
      <c r="A166" s="290">
        <v>752</v>
      </c>
      <c r="B166" s="290"/>
      <c r="C166" s="291"/>
      <c r="D166" s="291" t="s">
        <v>686</v>
      </c>
      <c r="E166" s="293">
        <f>F166+N166</f>
        <v>5000</v>
      </c>
      <c r="F166" s="293">
        <f>SUM(G166:M166)</f>
        <v>5000</v>
      </c>
      <c r="G166" s="293">
        <f>SUM(G167)</f>
        <v>0</v>
      </c>
      <c r="H166" s="293">
        <f aca="true" t="shared" si="30" ref="H166:N166">SUM(H167)</f>
        <v>0</v>
      </c>
      <c r="I166" s="293">
        <f t="shared" si="30"/>
        <v>0</v>
      </c>
      <c r="J166" s="293">
        <f t="shared" si="30"/>
        <v>0</v>
      </c>
      <c r="K166" s="293">
        <f t="shared" si="30"/>
        <v>0</v>
      </c>
      <c r="L166" s="293">
        <f t="shared" si="30"/>
        <v>0</v>
      </c>
      <c r="M166" s="293">
        <f t="shared" si="30"/>
        <v>5000</v>
      </c>
      <c r="N166" s="293">
        <f t="shared" si="30"/>
        <v>0</v>
      </c>
    </row>
    <row r="167" spans="1:14" s="62" customFormat="1" ht="25.5">
      <c r="A167" s="290"/>
      <c r="B167" s="295">
        <v>75212</v>
      </c>
      <c r="C167" s="296"/>
      <c r="D167" s="306" t="s">
        <v>682</v>
      </c>
      <c r="E167" s="298">
        <f>F167+N167</f>
        <v>5000</v>
      </c>
      <c r="F167" s="298">
        <f>SUM(G167:M167)</f>
        <v>5000</v>
      </c>
      <c r="G167" s="298">
        <f aca="true" t="shared" si="31" ref="G167:N167">SUM(G168:G168)</f>
        <v>0</v>
      </c>
      <c r="H167" s="298">
        <f t="shared" si="31"/>
        <v>0</v>
      </c>
      <c r="I167" s="298">
        <f t="shared" si="31"/>
        <v>0</v>
      </c>
      <c r="J167" s="298">
        <f t="shared" si="31"/>
        <v>0</v>
      </c>
      <c r="K167" s="298">
        <f t="shared" si="31"/>
        <v>0</v>
      </c>
      <c r="L167" s="298">
        <f t="shared" si="31"/>
        <v>0</v>
      </c>
      <c r="M167" s="298">
        <f t="shared" si="31"/>
        <v>5000</v>
      </c>
      <c r="N167" s="298">
        <f t="shared" si="31"/>
        <v>0</v>
      </c>
    </row>
    <row r="168" spans="1:14" s="39" customFormat="1" ht="49.5" customHeight="1">
      <c r="A168" s="290"/>
      <c r="B168" s="290"/>
      <c r="C168" s="300">
        <v>4700</v>
      </c>
      <c r="D168" s="301" t="s">
        <v>606</v>
      </c>
      <c r="E168" s="302">
        <f>F168+N168</f>
        <v>5000</v>
      </c>
      <c r="F168" s="302">
        <f>SUM(G168:M168)</f>
        <v>5000</v>
      </c>
      <c r="G168" s="302"/>
      <c r="H168" s="302"/>
      <c r="I168" s="302"/>
      <c r="J168" s="302"/>
      <c r="K168" s="302"/>
      <c r="L168" s="302"/>
      <c r="M168" s="302">
        <v>5000</v>
      </c>
      <c r="N168" s="302"/>
    </row>
    <row r="169" spans="1:14" s="294" customFormat="1" ht="38.25">
      <c r="A169" s="290">
        <v>754</v>
      </c>
      <c r="B169" s="290"/>
      <c r="C169" s="291"/>
      <c r="D169" s="307" t="s">
        <v>441</v>
      </c>
      <c r="E169" s="293">
        <f t="shared" si="27"/>
        <v>79500</v>
      </c>
      <c r="F169" s="293">
        <f t="shared" si="28"/>
        <v>79500</v>
      </c>
      <c r="G169" s="293">
        <f>SUM(G170+G176+G174+G172)</f>
        <v>0</v>
      </c>
      <c r="H169" s="293">
        <f>SUM(H170+H176+H174+H172)</f>
        <v>0</v>
      </c>
      <c r="I169" s="293">
        <f aca="true" t="shared" si="32" ref="I169:N169">SUM(I170+I176+I174+I172)</f>
        <v>0</v>
      </c>
      <c r="J169" s="293">
        <f t="shared" si="32"/>
        <v>60000</v>
      </c>
      <c r="K169" s="293">
        <f t="shared" si="32"/>
        <v>0</v>
      </c>
      <c r="L169" s="293">
        <f t="shared" si="32"/>
        <v>0</v>
      </c>
      <c r="M169" s="293">
        <f t="shared" si="32"/>
        <v>19500</v>
      </c>
      <c r="N169" s="293">
        <f t="shared" si="32"/>
        <v>0</v>
      </c>
    </row>
    <row r="170" spans="1:14" s="62" customFormat="1" ht="25.5">
      <c r="A170" s="290"/>
      <c r="B170" s="295">
        <v>75404</v>
      </c>
      <c r="C170" s="296"/>
      <c r="D170" s="306" t="s">
        <v>442</v>
      </c>
      <c r="E170" s="298">
        <f t="shared" si="27"/>
        <v>12000</v>
      </c>
      <c r="F170" s="298">
        <f t="shared" si="28"/>
        <v>12000</v>
      </c>
      <c r="G170" s="298">
        <f aca="true" t="shared" si="33" ref="G170:N172">SUM(G171:G171)</f>
        <v>0</v>
      </c>
      <c r="H170" s="298">
        <f t="shared" si="33"/>
        <v>0</v>
      </c>
      <c r="I170" s="298">
        <f t="shared" si="33"/>
        <v>0</v>
      </c>
      <c r="J170" s="298">
        <f t="shared" si="33"/>
        <v>0</v>
      </c>
      <c r="K170" s="298">
        <f t="shared" si="33"/>
        <v>0</v>
      </c>
      <c r="L170" s="298">
        <f t="shared" si="33"/>
        <v>0</v>
      </c>
      <c r="M170" s="298">
        <f t="shared" si="33"/>
        <v>12000</v>
      </c>
      <c r="N170" s="298">
        <f t="shared" si="33"/>
        <v>0</v>
      </c>
    </row>
    <row r="171" spans="1:14" s="39" customFormat="1" ht="38.25">
      <c r="A171" s="290"/>
      <c r="B171" s="290"/>
      <c r="C171" s="300">
        <v>4750</v>
      </c>
      <c r="D171" s="301" t="s">
        <v>417</v>
      </c>
      <c r="E171" s="302">
        <f>F171+N171</f>
        <v>12000</v>
      </c>
      <c r="F171" s="302">
        <f>SUM(G171:M171)</f>
        <v>12000</v>
      </c>
      <c r="G171" s="302"/>
      <c r="H171" s="302"/>
      <c r="I171" s="302"/>
      <c r="J171" s="302"/>
      <c r="K171" s="302"/>
      <c r="L171" s="302"/>
      <c r="M171" s="302">
        <v>12000</v>
      </c>
      <c r="N171" s="302"/>
    </row>
    <row r="172" spans="1:14" s="62" customFormat="1" ht="25.5">
      <c r="A172" s="290"/>
      <c r="B172" s="295">
        <v>75405</v>
      </c>
      <c r="C172" s="296"/>
      <c r="D172" s="306" t="s">
        <v>78</v>
      </c>
      <c r="E172" s="298">
        <f>F172+N172</f>
        <v>2000</v>
      </c>
      <c r="F172" s="298">
        <f>SUM(G172:M172)</f>
        <v>2000</v>
      </c>
      <c r="G172" s="298">
        <f t="shared" si="33"/>
        <v>0</v>
      </c>
      <c r="H172" s="298">
        <f t="shared" si="33"/>
        <v>0</v>
      </c>
      <c r="I172" s="298">
        <f t="shared" si="33"/>
        <v>0</v>
      </c>
      <c r="J172" s="298">
        <f t="shared" si="33"/>
        <v>0</v>
      </c>
      <c r="K172" s="298">
        <f t="shared" si="33"/>
        <v>0</v>
      </c>
      <c r="L172" s="298">
        <f t="shared" si="33"/>
        <v>0</v>
      </c>
      <c r="M172" s="298">
        <f t="shared" si="33"/>
        <v>2000</v>
      </c>
      <c r="N172" s="298">
        <f t="shared" si="33"/>
        <v>0</v>
      </c>
    </row>
    <row r="173" spans="1:14" s="39" customFormat="1" ht="12.75">
      <c r="A173" s="290"/>
      <c r="B173" s="290"/>
      <c r="C173" s="300">
        <v>4300</v>
      </c>
      <c r="D173" s="392" t="s">
        <v>79</v>
      </c>
      <c r="E173" s="302">
        <f>F173+N173</f>
        <v>2000</v>
      </c>
      <c r="F173" s="302">
        <f>SUM(G173:M173)</f>
        <v>2000</v>
      </c>
      <c r="G173" s="302"/>
      <c r="H173" s="302"/>
      <c r="I173" s="302"/>
      <c r="J173" s="302"/>
      <c r="K173" s="302"/>
      <c r="L173" s="302"/>
      <c r="M173" s="302">
        <v>2000</v>
      </c>
      <c r="N173" s="302"/>
    </row>
    <row r="174" spans="1:14" s="39" customFormat="1" ht="25.5">
      <c r="A174" s="290"/>
      <c r="B174" s="295">
        <v>75411</v>
      </c>
      <c r="C174" s="300"/>
      <c r="D174" s="306" t="s">
        <v>469</v>
      </c>
      <c r="E174" s="298">
        <f>F175+N175</f>
        <v>3000</v>
      </c>
      <c r="F174" s="298">
        <f>SUM(G174:M174)</f>
        <v>3000</v>
      </c>
      <c r="G174" s="298">
        <f aca="true" t="shared" si="34" ref="G174:N174">G175</f>
        <v>0</v>
      </c>
      <c r="H174" s="298">
        <f t="shared" si="34"/>
        <v>0</v>
      </c>
      <c r="I174" s="298">
        <f t="shared" si="34"/>
        <v>0</v>
      </c>
      <c r="J174" s="298">
        <f t="shared" si="34"/>
        <v>0</v>
      </c>
      <c r="K174" s="298">
        <f t="shared" si="34"/>
        <v>0</v>
      </c>
      <c r="L174" s="298">
        <f t="shared" si="34"/>
        <v>0</v>
      </c>
      <c r="M174" s="298">
        <f t="shared" si="34"/>
        <v>3000</v>
      </c>
      <c r="N174" s="298">
        <f t="shared" si="34"/>
        <v>0</v>
      </c>
    </row>
    <row r="175" spans="1:14" s="39" customFormat="1" ht="25.5">
      <c r="A175" s="290"/>
      <c r="B175" s="290"/>
      <c r="C175" s="300">
        <v>4210</v>
      </c>
      <c r="D175" s="301" t="s">
        <v>379</v>
      </c>
      <c r="E175" s="302">
        <f>F175+N175</f>
        <v>3000</v>
      </c>
      <c r="F175" s="302">
        <f>SUM(G175:M175)</f>
        <v>3000</v>
      </c>
      <c r="G175" s="302"/>
      <c r="H175" s="302"/>
      <c r="I175" s="302"/>
      <c r="J175" s="302"/>
      <c r="K175" s="302"/>
      <c r="L175" s="302"/>
      <c r="M175" s="302">
        <v>3000</v>
      </c>
      <c r="N175" s="302"/>
    </row>
    <row r="176" spans="1:14" s="62" customFormat="1" ht="12.75">
      <c r="A176" s="290"/>
      <c r="B176" s="295">
        <v>75495</v>
      </c>
      <c r="C176" s="296"/>
      <c r="D176" s="306" t="s">
        <v>443</v>
      </c>
      <c r="E176" s="298">
        <f t="shared" si="27"/>
        <v>62500</v>
      </c>
      <c r="F176" s="298">
        <f t="shared" si="28"/>
        <v>62500</v>
      </c>
      <c r="G176" s="298">
        <f>SUM(G177:G178)</f>
        <v>0</v>
      </c>
      <c r="H176" s="298">
        <f aca="true" t="shared" si="35" ref="H176:N176">SUM(H177:H178)</f>
        <v>0</v>
      </c>
      <c r="I176" s="298">
        <f t="shared" si="35"/>
        <v>0</v>
      </c>
      <c r="J176" s="298">
        <f t="shared" si="35"/>
        <v>60000</v>
      </c>
      <c r="K176" s="298">
        <f t="shared" si="35"/>
        <v>0</v>
      </c>
      <c r="L176" s="298">
        <f t="shared" si="35"/>
        <v>0</v>
      </c>
      <c r="M176" s="298">
        <f t="shared" si="35"/>
        <v>2500</v>
      </c>
      <c r="N176" s="298">
        <f t="shared" si="35"/>
        <v>0</v>
      </c>
    </row>
    <row r="177" spans="1:14" s="39" customFormat="1" ht="25.5">
      <c r="A177" s="290"/>
      <c r="B177" s="290"/>
      <c r="C177" s="300">
        <v>4210</v>
      </c>
      <c r="D177" s="301" t="s">
        <v>444</v>
      </c>
      <c r="E177" s="302">
        <f t="shared" si="27"/>
        <v>2500</v>
      </c>
      <c r="F177" s="302">
        <f t="shared" si="28"/>
        <v>2500</v>
      </c>
      <c r="G177" s="302"/>
      <c r="H177" s="302"/>
      <c r="I177" s="302"/>
      <c r="J177" s="302"/>
      <c r="K177" s="302"/>
      <c r="L177" s="302"/>
      <c r="M177" s="302">
        <v>2500</v>
      </c>
      <c r="N177" s="302"/>
    </row>
    <row r="178" spans="1:14" s="39" customFormat="1" ht="76.5">
      <c r="A178" s="290"/>
      <c r="B178" s="290"/>
      <c r="C178" s="300">
        <v>2320</v>
      </c>
      <c r="D178" s="301" t="s">
        <v>482</v>
      </c>
      <c r="E178" s="302">
        <f t="shared" si="27"/>
        <v>60000</v>
      </c>
      <c r="F178" s="302">
        <f t="shared" si="28"/>
        <v>60000</v>
      </c>
      <c r="G178" s="302"/>
      <c r="H178" s="302"/>
      <c r="I178" s="302"/>
      <c r="J178" s="302">
        <v>60000</v>
      </c>
      <c r="K178" s="302"/>
      <c r="L178" s="302"/>
      <c r="M178" s="302"/>
      <c r="N178" s="302"/>
    </row>
    <row r="179" spans="1:14" s="294" customFormat="1" ht="25.5">
      <c r="A179" s="290">
        <v>757</v>
      </c>
      <c r="B179" s="290"/>
      <c r="C179" s="291"/>
      <c r="D179" s="307" t="s">
        <v>445</v>
      </c>
      <c r="E179" s="293">
        <f t="shared" si="27"/>
        <v>505000</v>
      </c>
      <c r="F179" s="293">
        <f t="shared" si="28"/>
        <v>505000</v>
      </c>
      <c r="G179" s="293">
        <f>SUM(G180+G183)</f>
        <v>0</v>
      </c>
      <c r="H179" s="293">
        <f aca="true" t="shared" si="36" ref="H179:N179">SUM(H180+H183)</f>
        <v>0</v>
      </c>
      <c r="I179" s="293">
        <f t="shared" si="36"/>
        <v>0</v>
      </c>
      <c r="J179" s="293">
        <f t="shared" si="36"/>
        <v>0</v>
      </c>
      <c r="K179" s="293">
        <f t="shared" si="36"/>
        <v>505000</v>
      </c>
      <c r="L179" s="293">
        <f t="shared" si="36"/>
        <v>0</v>
      </c>
      <c r="M179" s="293">
        <f t="shared" si="36"/>
        <v>0</v>
      </c>
      <c r="N179" s="293">
        <f t="shared" si="36"/>
        <v>0</v>
      </c>
    </row>
    <row r="180" spans="1:14" s="62" customFormat="1" ht="51">
      <c r="A180" s="295"/>
      <c r="B180" s="295">
        <v>75702</v>
      </c>
      <c r="C180" s="296"/>
      <c r="D180" s="306" t="s">
        <v>446</v>
      </c>
      <c r="E180" s="298">
        <f t="shared" si="27"/>
        <v>385000</v>
      </c>
      <c r="F180" s="298">
        <f t="shared" si="28"/>
        <v>385000</v>
      </c>
      <c r="G180" s="298">
        <f>SUM(G181:G182)</f>
        <v>0</v>
      </c>
      <c r="H180" s="298">
        <f aca="true" t="shared" si="37" ref="H180:N180">SUM(H181:H182)</f>
        <v>0</v>
      </c>
      <c r="I180" s="298">
        <f t="shared" si="37"/>
        <v>0</v>
      </c>
      <c r="J180" s="298">
        <f t="shared" si="37"/>
        <v>0</v>
      </c>
      <c r="K180" s="298">
        <f t="shared" si="37"/>
        <v>385000</v>
      </c>
      <c r="L180" s="298">
        <f t="shared" si="37"/>
        <v>0</v>
      </c>
      <c r="M180" s="298">
        <f t="shared" si="37"/>
        <v>0</v>
      </c>
      <c r="N180" s="298">
        <f t="shared" si="37"/>
        <v>0</v>
      </c>
    </row>
    <row r="181" spans="1:14" s="39" customFormat="1" ht="36">
      <c r="A181" s="290"/>
      <c r="B181" s="290"/>
      <c r="C181" s="390">
        <v>8010</v>
      </c>
      <c r="D181" s="391" t="s">
        <v>65</v>
      </c>
      <c r="E181" s="302">
        <f>F181+N181</f>
        <v>30000</v>
      </c>
      <c r="F181" s="302">
        <f>SUM(G181:M181)</f>
        <v>30000</v>
      </c>
      <c r="G181" s="302"/>
      <c r="H181" s="302"/>
      <c r="I181" s="302"/>
      <c r="J181" s="302"/>
      <c r="K181" s="302">
        <v>30000</v>
      </c>
      <c r="L181" s="302"/>
      <c r="M181" s="302"/>
      <c r="N181" s="302"/>
    </row>
    <row r="182" spans="1:14" s="39" customFormat="1" ht="51">
      <c r="A182" s="290"/>
      <c r="B182" s="290"/>
      <c r="C182" s="300">
        <v>8070</v>
      </c>
      <c r="D182" s="301" t="s">
        <v>447</v>
      </c>
      <c r="E182" s="302">
        <f t="shared" si="27"/>
        <v>355000</v>
      </c>
      <c r="F182" s="302">
        <f t="shared" si="28"/>
        <v>355000</v>
      </c>
      <c r="G182" s="302"/>
      <c r="H182" s="302"/>
      <c r="I182" s="302"/>
      <c r="J182" s="302"/>
      <c r="K182" s="302">
        <v>355000</v>
      </c>
      <c r="L182" s="302"/>
      <c r="M182" s="302"/>
      <c r="N182" s="302"/>
    </row>
    <row r="183" spans="1:14" s="39" customFormat="1" ht="60.75" customHeight="1">
      <c r="A183" s="290"/>
      <c r="B183" s="369">
        <v>75704</v>
      </c>
      <c r="C183" s="370"/>
      <c r="D183" s="550" t="s">
        <v>29</v>
      </c>
      <c r="E183" s="302">
        <f t="shared" si="27"/>
        <v>120000</v>
      </c>
      <c r="F183" s="302">
        <f t="shared" si="28"/>
        <v>120000</v>
      </c>
      <c r="G183" s="302">
        <f>SUM(G184)</f>
        <v>0</v>
      </c>
      <c r="H183" s="302">
        <f>SUM(H184)</f>
        <v>0</v>
      </c>
      <c r="I183" s="302">
        <f aca="true" t="shared" si="38" ref="I183:N183">SUM(I184)</f>
        <v>0</v>
      </c>
      <c r="J183" s="302">
        <f t="shared" si="38"/>
        <v>0</v>
      </c>
      <c r="K183" s="302">
        <f t="shared" si="38"/>
        <v>120000</v>
      </c>
      <c r="L183" s="302">
        <f t="shared" si="38"/>
        <v>0</v>
      </c>
      <c r="M183" s="302">
        <f t="shared" si="38"/>
        <v>0</v>
      </c>
      <c r="N183" s="302">
        <f t="shared" si="38"/>
        <v>0</v>
      </c>
    </row>
    <row r="184" spans="1:14" s="39" customFormat="1" ht="25.5">
      <c r="A184" s="290"/>
      <c r="B184" s="369"/>
      <c r="C184" s="370">
        <v>8020</v>
      </c>
      <c r="D184" s="371" t="s">
        <v>28</v>
      </c>
      <c r="E184" s="302"/>
      <c r="F184" s="302"/>
      <c r="G184" s="302"/>
      <c r="H184" s="302"/>
      <c r="I184" s="302"/>
      <c r="J184" s="302"/>
      <c r="K184" s="302">
        <v>120000</v>
      </c>
      <c r="L184" s="302"/>
      <c r="M184" s="302"/>
      <c r="N184" s="302"/>
    </row>
    <row r="185" spans="1:14" s="294" customFormat="1" ht="12.75">
      <c r="A185" s="290">
        <v>758</v>
      </c>
      <c r="B185" s="290"/>
      <c r="C185" s="291"/>
      <c r="D185" s="307" t="s">
        <v>448</v>
      </c>
      <c r="E185" s="293">
        <f t="shared" si="27"/>
        <v>1709480</v>
      </c>
      <c r="F185" s="293">
        <f t="shared" si="28"/>
        <v>1509480</v>
      </c>
      <c r="G185" s="293">
        <f>G186</f>
        <v>0</v>
      </c>
      <c r="H185" s="293">
        <f aca="true" t="shared" si="39" ref="H185:N185">H186</f>
        <v>0</v>
      </c>
      <c r="I185" s="293">
        <f t="shared" si="39"/>
        <v>0</v>
      </c>
      <c r="J185" s="293">
        <f t="shared" si="39"/>
        <v>0</v>
      </c>
      <c r="K185" s="293">
        <f t="shared" si="39"/>
        <v>0</v>
      </c>
      <c r="L185" s="293">
        <f t="shared" si="39"/>
        <v>0</v>
      </c>
      <c r="M185" s="293">
        <f t="shared" si="39"/>
        <v>1509480</v>
      </c>
      <c r="N185" s="293">
        <f t="shared" si="39"/>
        <v>200000</v>
      </c>
    </row>
    <row r="186" spans="1:14" s="62" customFormat="1" ht="12.75">
      <c r="A186" s="295"/>
      <c r="B186" s="295">
        <v>75818</v>
      </c>
      <c r="C186" s="296"/>
      <c r="D186" s="306" t="s">
        <v>449</v>
      </c>
      <c r="E186" s="298">
        <f t="shared" si="27"/>
        <v>1709480</v>
      </c>
      <c r="F186" s="298">
        <f t="shared" si="28"/>
        <v>1509480</v>
      </c>
      <c r="G186" s="298">
        <f aca="true" t="shared" si="40" ref="G186:N186">SUM(G187:G188)</f>
        <v>0</v>
      </c>
      <c r="H186" s="298">
        <f t="shared" si="40"/>
        <v>0</v>
      </c>
      <c r="I186" s="298">
        <f t="shared" si="40"/>
        <v>0</v>
      </c>
      <c r="J186" s="298">
        <f t="shared" si="40"/>
        <v>0</v>
      </c>
      <c r="K186" s="298">
        <f t="shared" si="40"/>
        <v>0</v>
      </c>
      <c r="L186" s="298">
        <f t="shared" si="40"/>
        <v>0</v>
      </c>
      <c r="M186" s="298">
        <f t="shared" si="40"/>
        <v>1509480</v>
      </c>
      <c r="N186" s="298">
        <f t="shared" si="40"/>
        <v>200000</v>
      </c>
    </row>
    <row r="187" spans="1:14" s="39" customFormat="1" ht="12.75">
      <c r="A187" s="290"/>
      <c r="B187" s="290"/>
      <c r="C187" s="300">
        <v>4810</v>
      </c>
      <c r="D187" s="301" t="s">
        <v>450</v>
      </c>
      <c r="E187" s="302">
        <f t="shared" si="27"/>
        <v>1509480</v>
      </c>
      <c r="F187" s="302">
        <f t="shared" si="28"/>
        <v>1509480</v>
      </c>
      <c r="G187" s="302"/>
      <c r="H187" s="302"/>
      <c r="I187" s="302"/>
      <c r="J187" s="302"/>
      <c r="K187" s="302"/>
      <c r="L187" s="302"/>
      <c r="M187" s="302">
        <f>1530980-21500</f>
        <v>1509480</v>
      </c>
      <c r="N187" s="302"/>
    </row>
    <row r="188" spans="1:14" s="39" customFormat="1" ht="39.75" customHeight="1">
      <c r="A188" s="290"/>
      <c r="B188" s="290"/>
      <c r="C188" s="300">
        <v>6800</v>
      </c>
      <c r="D188" s="301" t="s">
        <v>519</v>
      </c>
      <c r="E188" s="302">
        <f t="shared" si="27"/>
        <v>200000</v>
      </c>
      <c r="F188" s="302">
        <f>SUM(G188:M188)</f>
        <v>0</v>
      </c>
      <c r="G188" s="302"/>
      <c r="H188" s="302"/>
      <c r="I188" s="302"/>
      <c r="J188" s="302"/>
      <c r="K188" s="302"/>
      <c r="L188" s="302"/>
      <c r="M188" s="115"/>
      <c r="N188" s="302">
        <v>200000</v>
      </c>
    </row>
    <row r="189" spans="1:14" s="294" customFormat="1" ht="12.75">
      <c r="A189" s="290">
        <v>801</v>
      </c>
      <c r="B189" s="290"/>
      <c r="C189" s="291"/>
      <c r="D189" s="307" t="s">
        <v>451</v>
      </c>
      <c r="E189" s="293">
        <f t="shared" si="27"/>
        <v>13714358</v>
      </c>
      <c r="F189" s="293">
        <f t="shared" si="28"/>
        <v>13174358</v>
      </c>
      <c r="G189" s="293">
        <f aca="true" t="shared" si="41" ref="G189:N189">SUM(G190+G197+G219+G231+G263+G287+G294+G299+G312)</f>
        <v>8364170</v>
      </c>
      <c r="H189" s="293">
        <f t="shared" si="41"/>
        <v>625064</v>
      </c>
      <c r="I189" s="293">
        <f t="shared" si="41"/>
        <v>1556180</v>
      </c>
      <c r="J189" s="293">
        <f t="shared" si="41"/>
        <v>104100</v>
      </c>
      <c r="K189" s="293">
        <f t="shared" si="41"/>
        <v>0</v>
      </c>
      <c r="L189" s="293">
        <f t="shared" si="41"/>
        <v>0</v>
      </c>
      <c r="M189" s="293">
        <f t="shared" si="41"/>
        <v>2524844</v>
      </c>
      <c r="N189" s="293">
        <f t="shared" si="41"/>
        <v>540000</v>
      </c>
    </row>
    <row r="190" spans="1:15" s="62" customFormat="1" ht="25.5">
      <c r="A190" s="290"/>
      <c r="B190" s="295">
        <v>80102</v>
      </c>
      <c r="C190" s="296"/>
      <c r="D190" s="306" t="s">
        <v>452</v>
      </c>
      <c r="E190" s="298">
        <f t="shared" si="27"/>
        <v>1049560</v>
      </c>
      <c r="F190" s="298">
        <f t="shared" si="28"/>
        <v>1049560</v>
      </c>
      <c r="G190" s="298">
        <f aca="true" t="shared" si="42" ref="G190:N190">SUM(G191:G196)</f>
        <v>803950</v>
      </c>
      <c r="H190" s="298">
        <f t="shared" si="42"/>
        <v>55900</v>
      </c>
      <c r="I190" s="298">
        <f t="shared" si="42"/>
        <v>149270</v>
      </c>
      <c r="J190" s="298">
        <f t="shared" si="42"/>
        <v>0</v>
      </c>
      <c r="K190" s="298">
        <f t="shared" si="42"/>
        <v>0</v>
      </c>
      <c r="L190" s="298">
        <f t="shared" si="42"/>
        <v>0</v>
      </c>
      <c r="M190" s="298">
        <f t="shared" si="42"/>
        <v>40440</v>
      </c>
      <c r="N190" s="298">
        <f t="shared" si="42"/>
        <v>0</v>
      </c>
      <c r="O190" s="315">
        <f>1049560-1009120</f>
        <v>40440</v>
      </c>
    </row>
    <row r="191" spans="1:14" s="39" customFormat="1" ht="25.5">
      <c r="A191" s="290"/>
      <c r="B191" s="290"/>
      <c r="C191" s="300">
        <v>3020</v>
      </c>
      <c r="D191" s="301" t="s">
        <v>607</v>
      </c>
      <c r="E191" s="302">
        <f t="shared" si="27"/>
        <v>2090</v>
      </c>
      <c r="F191" s="302">
        <f t="shared" si="28"/>
        <v>2090</v>
      </c>
      <c r="G191" s="302"/>
      <c r="H191" s="302"/>
      <c r="I191" s="302"/>
      <c r="J191" s="302"/>
      <c r="K191" s="302"/>
      <c r="L191" s="302"/>
      <c r="M191" s="302">
        <v>2090</v>
      </c>
      <c r="N191" s="302"/>
    </row>
    <row r="192" spans="1:14" s="39" customFormat="1" ht="25.5">
      <c r="A192" s="290"/>
      <c r="B192" s="290"/>
      <c r="C192" s="300">
        <v>4010</v>
      </c>
      <c r="D192" s="301" t="s">
        <v>374</v>
      </c>
      <c r="E192" s="302">
        <f t="shared" si="27"/>
        <v>803950</v>
      </c>
      <c r="F192" s="302">
        <f t="shared" si="28"/>
        <v>803950</v>
      </c>
      <c r="G192" s="302">
        <v>803950</v>
      </c>
      <c r="H192" s="302"/>
      <c r="I192" s="302"/>
      <c r="J192" s="302"/>
      <c r="K192" s="302"/>
      <c r="L192" s="302"/>
      <c r="M192" s="302"/>
      <c r="N192" s="302"/>
    </row>
    <row r="193" spans="1:14" s="39" customFormat="1" ht="34.5" customHeight="1">
      <c r="A193" s="290"/>
      <c r="B193" s="290"/>
      <c r="C193" s="300">
        <v>4040</v>
      </c>
      <c r="D193" s="301" t="s">
        <v>375</v>
      </c>
      <c r="E193" s="302">
        <f t="shared" si="27"/>
        <v>55900</v>
      </c>
      <c r="F193" s="302">
        <f t="shared" si="28"/>
        <v>55900</v>
      </c>
      <c r="G193" s="302"/>
      <c r="H193" s="302">
        <v>55900</v>
      </c>
      <c r="I193" s="302"/>
      <c r="J193" s="302"/>
      <c r="K193" s="302"/>
      <c r="L193" s="302"/>
      <c r="M193" s="302"/>
      <c r="N193" s="302"/>
    </row>
    <row r="194" spans="1:14" s="39" customFormat="1" ht="25.5">
      <c r="A194" s="290"/>
      <c r="B194" s="290"/>
      <c r="C194" s="300">
        <v>4110</v>
      </c>
      <c r="D194" s="301" t="s">
        <v>453</v>
      </c>
      <c r="E194" s="302">
        <f t="shared" si="27"/>
        <v>128630</v>
      </c>
      <c r="F194" s="302">
        <f t="shared" si="28"/>
        <v>128630</v>
      </c>
      <c r="G194" s="302"/>
      <c r="H194" s="302"/>
      <c r="I194" s="302">
        <v>128630</v>
      </c>
      <c r="J194" s="302"/>
      <c r="K194" s="302"/>
      <c r="L194" s="302"/>
      <c r="M194" s="302"/>
      <c r="N194" s="302"/>
    </row>
    <row r="195" spans="1:14" s="39" customFormat="1" ht="12.75">
      <c r="A195" s="290"/>
      <c r="B195" s="290"/>
      <c r="C195" s="300">
        <v>4120</v>
      </c>
      <c r="D195" s="301" t="s">
        <v>377</v>
      </c>
      <c r="E195" s="302">
        <f t="shared" si="27"/>
        <v>20640</v>
      </c>
      <c r="F195" s="302">
        <f t="shared" si="28"/>
        <v>20640</v>
      </c>
      <c r="G195" s="302"/>
      <c r="H195" s="302"/>
      <c r="I195" s="302">
        <v>20640</v>
      </c>
      <c r="J195" s="302"/>
      <c r="K195" s="302"/>
      <c r="L195" s="302"/>
      <c r="M195" s="302"/>
      <c r="N195" s="302"/>
    </row>
    <row r="196" spans="1:14" s="39" customFormat="1" ht="47.25" customHeight="1">
      <c r="A196" s="290"/>
      <c r="B196" s="290"/>
      <c r="C196" s="300">
        <v>4440</v>
      </c>
      <c r="D196" s="301" t="s">
        <v>390</v>
      </c>
      <c r="E196" s="302">
        <f t="shared" si="27"/>
        <v>38350</v>
      </c>
      <c r="F196" s="302">
        <f t="shared" si="28"/>
        <v>38350</v>
      </c>
      <c r="G196" s="302"/>
      <c r="H196" s="302"/>
      <c r="I196" s="302"/>
      <c r="J196" s="302"/>
      <c r="K196" s="302"/>
      <c r="L196" s="302"/>
      <c r="M196" s="302">
        <v>38350</v>
      </c>
      <c r="N196" s="302"/>
    </row>
    <row r="197" spans="1:14" s="62" customFormat="1" ht="12.75">
      <c r="A197" s="290"/>
      <c r="B197" s="295">
        <v>80111</v>
      </c>
      <c r="C197" s="296"/>
      <c r="D197" s="306" t="s">
        <v>454</v>
      </c>
      <c r="E197" s="298">
        <f t="shared" si="27"/>
        <v>798720</v>
      </c>
      <c r="F197" s="298">
        <f t="shared" si="28"/>
        <v>798720</v>
      </c>
      <c r="G197" s="298">
        <f aca="true" t="shared" si="43" ref="G197:N197">SUM(G198:G218)</f>
        <v>467980</v>
      </c>
      <c r="H197" s="298">
        <f t="shared" si="43"/>
        <v>40610</v>
      </c>
      <c r="I197" s="298">
        <f t="shared" si="43"/>
        <v>88300</v>
      </c>
      <c r="J197" s="298">
        <f t="shared" si="43"/>
        <v>0</v>
      </c>
      <c r="K197" s="298">
        <f t="shared" si="43"/>
        <v>0</v>
      </c>
      <c r="L197" s="298">
        <f t="shared" si="43"/>
        <v>0</v>
      </c>
      <c r="M197" s="298">
        <f t="shared" si="43"/>
        <v>201830</v>
      </c>
      <c r="N197" s="298">
        <f t="shared" si="43"/>
        <v>0</v>
      </c>
    </row>
    <row r="198" spans="1:14" s="39" customFormat="1" ht="25.5">
      <c r="A198" s="290"/>
      <c r="B198" s="290"/>
      <c r="C198" s="300">
        <v>3020</v>
      </c>
      <c r="D198" s="301" t="s">
        <v>607</v>
      </c>
      <c r="E198" s="302">
        <f t="shared" si="27"/>
        <v>6470</v>
      </c>
      <c r="F198" s="302">
        <f t="shared" si="28"/>
        <v>6470</v>
      </c>
      <c r="G198" s="302"/>
      <c r="H198" s="302"/>
      <c r="I198" s="302"/>
      <c r="J198" s="302"/>
      <c r="K198" s="302"/>
      <c r="L198" s="302"/>
      <c r="M198" s="302">
        <v>6470</v>
      </c>
      <c r="N198" s="302"/>
    </row>
    <row r="199" spans="1:14" s="39" customFormat="1" ht="25.5">
      <c r="A199" s="290"/>
      <c r="B199" s="290"/>
      <c r="C199" s="300">
        <v>4010</v>
      </c>
      <c r="D199" s="301" t="s">
        <v>374</v>
      </c>
      <c r="E199" s="302">
        <f t="shared" si="27"/>
        <v>467980</v>
      </c>
      <c r="F199" s="302">
        <f t="shared" si="28"/>
        <v>467980</v>
      </c>
      <c r="G199" s="302">
        <v>467980</v>
      </c>
      <c r="H199" s="302"/>
      <c r="I199" s="302"/>
      <c r="J199" s="302"/>
      <c r="K199" s="302"/>
      <c r="L199" s="302"/>
      <c r="M199" s="302"/>
      <c r="N199" s="302"/>
    </row>
    <row r="200" spans="1:14" s="39" customFormat="1" ht="25.5">
      <c r="A200" s="290"/>
      <c r="B200" s="290"/>
      <c r="C200" s="300">
        <v>4040</v>
      </c>
      <c r="D200" s="301" t="s">
        <v>375</v>
      </c>
      <c r="E200" s="302">
        <f t="shared" si="27"/>
        <v>40610</v>
      </c>
      <c r="F200" s="302">
        <f t="shared" si="28"/>
        <v>40610</v>
      </c>
      <c r="G200" s="302"/>
      <c r="H200" s="302">
        <v>40610</v>
      </c>
      <c r="I200" s="302"/>
      <c r="J200" s="302"/>
      <c r="K200" s="302"/>
      <c r="L200" s="302"/>
      <c r="M200" s="302"/>
      <c r="N200" s="302"/>
    </row>
    <row r="201" spans="1:14" s="39" customFormat="1" ht="25.5">
      <c r="A201" s="290"/>
      <c r="B201" s="290"/>
      <c r="C201" s="300">
        <v>4110</v>
      </c>
      <c r="D201" s="301" t="s">
        <v>453</v>
      </c>
      <c r="E201" s="302">
        <f t="shared" si="27"/>
        <v>76090</v>
      </c>
      <c r="F201" s="302">
        <f t="shared" si="28"/>
        <v>76090</v>
      </c>
      <c r="G201" s="302"/>
      <c r="H201" s="302"/>
      <c r="I201" s="302">
        <v>76090</v>
      </c>
      <c r="J201" s="302"/>
      <c r="K201" s="302"/>
      <c r="L201" s="302"/>
      <c r="M201" s="302"/>
      <c r="N201" s="302"/>
    </row>
    <row r="202" spans="1:14" s="39" customFormat="1" ht="12.75">
      <c r="A202" s="290"/>
      <c r="B202" s="290"/>
      <c r="C202" s="300">
        <v>4120</v>
      </c>
      <c r="D202" s="301" t="s">
        <v>455</v>
      </c>
      <c r="E202" s="302">
        <f t="shared" si="27"/>
        <v>12210</v>
      </c>
      <c r="F202" s="302">
        <f t="shared" si="28"/>
        <v>12210</v>
      </c>
      <c r="G202" s="302"/>
      <c r="H202" s="302"/>
      <c r="I202" s="302">
        <v>12210</v>
      </c>
      <c r="J202" s="302"/>
      <c r="K202" s="302"/>
      <c r="L202" s="302"/>
      <c r="M202" s="302"/>
      <c r="N202" s="302"/>
    </row>
    <row r="203" spans="1:14" s="39" customFormat="1" ht="33" customHeight="1">
      <c r="A203" s="290"/>
      <c r="B203" s="290"/>
      <c r="C203" s="300">
        <v>4170</v>
      </c>
      <c r="D203" s="301" t="s">
        <v>413</v>
      </c>
      <c r="E203" s="302">
        <f t="shared" si="27"/>
        <v>2630</v>
      </c>
      <c r="F203" s="302">
        <f t="shared" si="28"/>
        <v>2630</v>
      </c>
      <c r="G203" s="302"/>
      <c r="H203" s="302"/>
      <c r="I203" s="302"/>
      <c r="J203" s="302"/>
      <c r="K203" s="302"/>
      <c r="L203" s="302"/>
      <c r="M203" s="302">
        <v>2630</v>
      </c>
      <c r="N203" s="302"/>
    </row>
    <row r="204" spans="1:14" s="39" customFormat="1" ht="25.5">
      <c r="A204" s="290"/>
      <c r="B204" s="290"/>
      <c r="C204" s="300">
        <v>4210</v>
      </c>
      <c r="D204" s="301" t="s">
        <v>379</v>
      </c>
      <c r="E204" s="302">
        <f t="shared" si="27"/>
        <v>18200</v>
      </c>
      <c r="F204" s="302">
        <f t="shared" si="28"/>
        <v>18200</v>
      </c>
      <c r="G204" s="302"/>
      <c r="H204" s="302"/>
      <c r="I204" s="302"/>
      <c r="J204" s="302"/>
      <c r="K204" s="302"/>
      <c r="L204" s="302"/>
      <c r="M204" s="302">
        <v>18200</v>
      </c>
      <c r="N204" s="302"/>
    </row>
    <row r="205" spans="1:14" s="39" customFormat="1" ht="25.5" hidden="1">
      <c r="A205" s="290"/>
      <c r="B205" s="290"/>
      <c r="C205" s="300">
        <v>4240</v>
      </c>
      <c r="D205" s="301" t="s">
        <v>456</v>
      </c>
      <c r="E205" s="302">
        <f t="shared" si="27"/>
        <v>0</v>
      </c>
      <c r="F205" s="302">
        <f t="shared" si="28"/>
        <v>0</v>
      </c>
      <c r="G205" s="302"/>
      <c r="H205" s="302"/>
      <c r="I205" s="302"/>
      <c r="J205" s="302"/>
      <c r="K205" s="302"/>
      <c r="L205" s="302"/>
      <c r="M205" s="302"/>
      <c r="N205" s="302"/>
    </row>
    <row r="206" spans="1:14" s="39" customFormat="1" ht="12.75">
      <c r="A206" s="290"/>
      <c r="B206" s="290"/>
      <c r="C206" s="300">
        <v>4260</v>
      </c>
      <c r="D206" s="301" t="s">
        <v>380</v>
      </c>
      <c r="E206" s="302">
        <f t="shared" si="27"/>
        <v>82120</v>
      </c>
      <c r="F206" s="302">
        <f t="shared" si="28"/>
        <v>82120</v>
      </c>
      <c r="G206" s="302"/>
      <c r="H206" s="302"/>
      <c r="I206" s="302"/>
      <c r="J206" s="302"/>
      <c r="K206" s="302"/>
      <c r="L206" s="302"/>
      <c r="M206" s="302">
        <v>82120</v>
      </c>
      <c r="N206" s="302"/>
    </row>
    <row r="207" spans="1:14" s="39" customFormat="1" ht="12.75">
      <c r="A207" s="290"/>
      <c r="B207" s="290"/>
      <c r="C207" s="300">
        <v>4270</v>
      </c>
      <c r="D207" s="301" t="s">
        <v>397</v>
      </c>
      <c r="E207" s="302">
        <f t="shared" si="27"/>
        <v>2700</v>
      </c>
      <c r="F207" s="302">
        <f t="shared" si="28"/>
        <v>2700</v>
      </c>
      <c r="G207" s="302"/>
      <c r="H207" s="302"/>
      <c r="I207" s="302"/>
      <c r="J207" s="302"/>
      <c r="K207" s="302"/>
      <c r="L207" s="302"/>
      <c r="M207" s="302">
        <v>2700</v>
      </c>
      <c r="N207" s="302"/>
    </row>
    <row r="208" spans="1:14" s="39" customFormat="1" ht="12.75">
      <c r="A208" s="290"/>
      <c r="B208" s="290"/>
      <c r="C208" s="300">
        <v>4280</v>
      </c>
      <c r="D208" s="301" t="s">
        <v>382</v>
      </c>
      <c r="E208" s="302">
        <f t="shared" si="27"/>
        <v>1500</v>
      </c>
      <c r="F208" s="302">
        <f t="shared" si="28"/>
        <v>1500</v>
      </c>
      <c r="G208" s="302"/>
      <c r="H208" s="302"/>
      <c r="I208" s="302"/>
      <c r="J208" s="302"/>
      <c r="K208" s="302"/>
      <c r="L208" s="302"/>
      <c r="M208" s="302">
        <v>1500</v>
      </c>
      <c r="N208" s="302"/>
    </row>
    <row r="209" spans="1:14" s="39" customFormat="1" ht="12.75">
      <c r="A209" s="290"/>
      <c r="B209" s="290"/>
      <c r="C209" s="300">
        <v>4300</v>
      </c>
      <c r="D209" s="301" t="s">
        <v>362</v>
      </c>
      <c r="E209" s="302">
        <f t="shared" si="27"/>
        <v>43400</v>
      </c>
      <c r="F209" s="302">
        <f t="shared" si="28"/>
        <v>43400</v>
      </c>
      <c r="G209" s="302"/>
      <c r="H209" s="302"/>
      <c r="I209" s="302"/>
      <c r="J209" s="302"/>
      <c r="K209" s="302"/>
      <c r="L209" s="302"/>
      <c r="M209" s="302">
        <v>43400</v>
      </c>
      <c r="N209" s="302"/>
    </row>
    <row r="210" spans="1:14" s="39" customFormat="1" ht="25.5">
      <c r="A210" s="290"/>
      <c r="B210" s="290"/>
      <c r="C210" s="300">
        <v>4350</v>
      </c>
      <c r="D210" s="301" t="s">
        <v>383</v>
      </c>
      <c r="E210" s="302">
        <f t="shared" si="27"/>
        <v>5220</v>
      </c>
      <c r="F210" s="302">
        <f t="shared" si="28"/>
        <v>5220</v>
      </c>
      <c r="G210" s="302"/>
      <c r="H210" s="302"/>
      <c r="I210" s="302"/>
      <c r="J210" s="302"/>
      <c r="K210" s="302"/>
      <c r="L210" s="302"/>
      <c r="M210" s="302">
        <v>5220</v>
      </c>
      <c r="N210" s="302"/>
    </row>
    <row r="211" spans="1:14" s="39" customFormat="1" ht="38.25">
      <c r="A211" s="290"/>
      <c r="B211" s="290"/>
      <c r="C211" s="300">
        <v>4370</v>
      </c>
      <c r="D211" s="301" t="s">
        <v>457</v>
      </c>
      <c r="E211" s="302">
        <f t="shared" si="27"/>
        <v>5910</v>
      </c>
      <c r="F211" s="302">
        <f t="shared" si="28"/>
        <v>5910</v>
      </c>
      <c r="G211" s="302"/>
      <c r="H211" s="302"/>
      <c r="I211" s="302"/>
      <c r="J211" s="302"/>
      <c r="K211" s="302"/>
      <c r="L211" s="302"/>
      <c r="M211" s="302">
        <v>5910</v>
      </c>
      <c r="N211" s="302"/>
    </row>
    <row r="212" spans="1:14" s="39" customFormat="1" ht="12.75">
      <c r="A212" s="290"/>
      <c r="B212" s="290"/>
      <c r="C212" s="300">
        <v>4410</v>
      </c>
      <c r="D212" s="301" t="s">
        <v>388</v>
      </c>
      <c r="E212" s="302">
        <f t="shared" si="27"/>
        <v>1060</v>
      </c>
      <c r="F212" s="302">
        <f t="shared" si="28"/>
        <v>1060</v>
      </c>
      <c r="G212" s="302"/>
      <c r="H212" s="302"/>
      <c r="I212" s="302"/>
      <c r="J212" s="302"/>
      <c r="K212" s="302"/>
      <c r="L212" s="302"/>
      <c r="M212" s="302">
        <v>1060</v>
      </c>
      <c r="N212" s="302"/>
    </row>
    <row r="213" spans="1:14" s="39" customFormat="1" ht="12.75">
      <c r="A213" s="290"/>
      <c r="B213" s="290"/>
      <c r="C213" s="300">
        <v>4430</v>
      </c>
      <c r="D213" s="301" t="s">
        <v>389</v>
      </c>
      <c r="E213" s="302">
        <f t="shared" si="27"/>
        <v>3870</v>
      </c>
      <c r="F213" s="302">
        <f t="shared" si="28"/>
        <v>3870</v>
      </c>
      <c r="G213" s="302"/>
      <c r="H213" s="302"/>
      <c r="I213" s="302"/>
      <c r="J213" s="302"/>
      <c r="K213" s="302"/>
      <c r="L213" s="302"/>
      <c r="M213" s="302">
        <v>3870</v>
      </c>
      <c r="N213" s="302"/>
    </row>
    <row r="214" spans="1:14" s="39" customFormat="1" ht="40.5" customHeight="1">
      <c r="A214" s="290"/>
      <c r="B214" s="290"/>
      <c r="C214" s="300">
        <v>4440</v>
      </c>
      <c r="D214" s="301" t="s">
        <v>390</v>
      </c>
      <c r="E214" s="302">
        <f t="shared" si="27"/>
        <v>23940</v>
      </c>
      <c r="F214" s="302">
        <f t="shared" si="28"/>
        <v>23940</v>
      </c>
      <c r="G214" s="302"/>
      <c r="H214" s="302"/>
      <c r="I214" s="302"/>
      <c r="J214" s="302"/>
      <c r="K214" s="302"/>
      <c r="L214" s="302"/>
      <c r="M214" s="302">
        <v>23940</v>
      </c>
      <c r="N214" s="302"/>
    </row>
    <row r="215" spans="1:14" s="39" customFormat="1" ht="25.5">
      <c r="A215" s="290"/>
      <c r="B215" s="290"/>
      <c r="C215" s="300">
        <v>4510</v>
      </c>
      <c r="D215" s="301" t="s">
        <v>643</v>
      </c>
      <c r="E215" s="302">
        <f t="shared" si="27"/>
        <v>310</v>
      </c>
      <c r="F215" s="302">
        <f t="shared" si="28"/>
        <v>310</v>
      </c>
      <c r="G215" s="302"/>
      <c r="H215" s="302"/>
      <c r="I215" s="302"/>
      <c r="J215" s="302"/>
      <c r="K215" s="302"/>
      <c r="L215" s="302"/>
      <c r="M215" s="302">
        <v>310</v>
      </c>
      <c r="N215" s="302"/>
    </row>
    <row r="216" spans="1:14" s="39" customFormat="1" ht="49.5" customHeight="1">
      <c r="A216" s="290"/>
      <c r="B216" s="290"/>
      <c r="C216" s="300">
        <v>4700</v>
      </c>
      <c r="D216" s="301" t="s">
        <v>606</v>
      </c>
      <c r="E216" s="302">
        <f t="shared" si="27"/>
        <v>1000</v>
      </c>
      <c r="F216" s="302">
        <f t="shared" si="28"/>
        <v>1000</v>
      </c>
      <c r="G216" s="302"/>
      <c r="H216" s="302"/>
      <c r="I216" s="302"/>
      <c r="J216" s="302"/>
      <c r="K216" s="302"/>
      <c r="L216" s="302"/>
      <c r="M216" s="302">
        <v>1000</v>
      </c>
      <c r="N216" s="302"/>
    </row>
    <row r="217" spans="1:14" s="39" customFormat="1" ht="51">
      <c r="A217" s="290"/>
      <c r="B217" s="290"/>
      <c r="C217" s="300">
        <v>4740</v>
      </c>
      <c r="D217" s="301" t="s">
        <v>416</v>
      </c>
      <c r="E217" s="302">
        <f t="shared" si="27"/>
        <v>1500</v>
      </c>
      <c r="F217" s="302">
        <f t="shared" si="28"/>
        <v>1500</v>
      </c>
      <c r="G217" s="302"/>
      <c r="H217" s="302"/>
      <c r="I217" s="302"/>
      <c r="J217" s="302"/>
      <c r="K217" s="302"/>
      <c r="L217" s="302"/>
      <c r="M217" s="302">
        <v>1500</v>
      </c>
      <c r="N217" s="302"/>
    </row>
    <row r="218" spans="1:14" s="39" customFormat="1" ht="38.25">
      <c r="A218" s="290"/>
      <c r="B218" s="290"/>
      <c r="C218" s="300">
        <v>4750</v>
      </c>
      <c r="D218" s="301" t="s">
        <v>458</v>
      </c>
      <c r="E218" s="302">
        <f t="shared" si="27"/>
        <v>2000</v>
      </c>
      <c r="F218" s="302">
        <f t="shared" si="28"/>
        <v>2000</v>
      </c>
      <c r="G218" s="302"/>
      <c r="H218" s="302"/>
      <c r="I218" s="302"/>
      <c r="J218" s="302"/>
      <c r="K218" s="302"/>
      <c r="L218" s="302"/>
      <c r="M218" s="302">
        <v>2000</v>
      </c>
      <c r="N218" s="302"/>
    </row>
    <row r="219" spans="1:14" s="62" customFormat="1" ht="12.75">
      <c r="A219" s="290"/>
      <c r="B219" s="295">
        <v>80120</v>
      </c>
      <c r="C219" s="296"/>
      <c r="D219" s="306" t="s">
        <v>459</v>
      </c>
      <c r="E219" s="298">
        <f t="shared" si="27"/>
        <v>2142860</v>
      </c>
      <c r="F219" s="298">
        <f t="shared" si="28"/>
        <v>2142860</v>
      </c>
      <c r="G219" s="298">
        <f>SUM(G220:G230)</f>
        <v>1488100</v>
      </c>
      <c r="H219" s="298">
        <f aca="true" t="shared" si="44" ref="H219:N219">SUM(H220:H230)</f>
        <v>114660</v>
      </c>
      <c r="I219" s="298">
        <f t="shared" si="44"/>
        <v>279220</v>
      </c>
      <c r="J219" s="298">
        <f t="shared" si="44"/>
        <v>64100</v>
      </c>
      <c r="K219" s="298">
        <f t="shared" si="44"/>
        <v>0</v>
      </c>
      <c r="L219" s="298">
        <f t="shared" si="44"/>
        <v>0</v>
      </c>
      <c r="M219" s="298">
        <f t="shared" si="44"/>
        <v>196780</v>
      </c>
      <c r="N219" s="298">
        <f t="shared" si="44"/>
        <v>0</v>
      </c>
    </row>
    <row r="220" spans="1:14" s="39" customFormat="1" ht="68.25" customHeight="1">
      <c r="A220" s="290"/>
      <c r="B220" s="290"/>
      <c r="C220" s="300">
        <v>2540</v>
      </c>
      <c r="D220" s="301" t="s">
        <v>460</v>
      </c>
      <c r="E220" s="302">
        <f t="shared" si="27"/>
        <v>64100</v>
      </c>
      <c r="F220" s="302">
        <f t="shared" si="28"/>
        <v>64100</v>
      </c>
      <c r="G220" s="302"/>
      <c r="H220" s="302"/>
      <c r="I220" s="302"/>
      <c r="J220" s="302">
        <v>64100</v>
      </c>
      <c r="K220" s="302"/>
      <c r="L220" s="302"/>
      <c r="M220" s="302"/>
      <c r="N220" s="302"/>
    </row>
    <row r="221" spans="1:14" s="39" customFormat="1" ht="25.5">
      <c r="A221" s="290"/>
      <c r="B221" s="290"/>
      <c r="C221" s="300">
        <v>3020</v>
      </c>
      <c r="D221" s="301" t="s">
        <v>607</v>
      </c>
      <c r="E221" s="302">
        <f t="shared" si="27"/>
        <v>56680</v>
      </c>
      <c r="F221" s="302">
        <f t="shared" si="28"/>
        <v>56680</v>
      </c>
      <c r="G221" s="302"/>
      <c r="H221" s="302"/>
      <c r="I221" s="302"/>
      <c r="J221" s="302"/>
      <c r="K221" s="302"/>
      <c r="L221" s="302"/>
      <c r="M221" s="302">
        <v>56680</v>
      </c>
      <c r="N221" s="302"/>
    </row>
    <row r="222" spans="1:14" s="39" customFormat="1" ht="25.5">
      <c r="A222" s="290"/>
      <c r="B222" s="290"/>
      <c r="C222" s="300">
        <v>4010</v>
      </c>
      <c r="D222" s="301" t="s">
        <v>374</v>
      </c>
      <c r="E222" s="302">
        <f t="shared" si="27"/>
        <v>1488100</v>
      </c>
      <c r="F222" s="302">
        <f t="shared" si="28"/>
        <v>1488100</v>
      </c>
      <c r="G222" s="302">
        <v>1488100</v>
      </c>
      <c r="H222" s="302"/>
      <c r="I222" s="302"/>
      <c r="J222" s="302"/>
      <c r="K222" s="302"/>
      <c r="L222" s="302"/>
      <c r="M222" s="302"/>
      <c r="N222" s="302"/>
    </row>
    <row r="223" spans="1:14" s="39" customFormat="1" ht="25.5">
      <c r="A223" s="290"/>
      <c r="B223" s="290"/>
      <c r="C223" s="300">
        <v>4040</v>
      </c>
      <c r="D223" s="301" t="s">
        <v>375</v>
      </c>
      <c r="E223" s="302">
        <f t="shared" si="27"/>
        <v>114660</v>
      </c>
      <c r="F223" s="302">
        <f t="shared" si="28"/>
        <v>114660</v>
      </c>
      <c r="G223" s="302"/>
      <c r="H223" s="302">
        <v>114660</v>
      </c>
      <c r="I223" s="302"/>
      <c r="J223" s="302"/>
      <c r="K223" s="302"/>
      <c r="L223" s="302"/>
      <c r="M223" s="302"/>
      <c r="N223" s="302"/>
    </row>
    <row r="224" spans="1:14" s="39" customFormat="1" ht="25.5">
      <c r="A224" s="290"/>
      <c r="B224" s="290"/>
      <c r="C224" s="300">
        <v>4110</v>
      </c>
      <c r="D224" s="301" t="s">
        <v>453</v>
      </c>
      <c r="E224" s="302">
        <f t="shared" si="27"/>
        <v>240760</v>
      </c>
      <c r="F224" s="302">
        <f t="shared" si="28"/>
        <v>240760</v>
      </c>
      <c r="G224" s="302"/>
      <c r="H224" s="302"/>
      <c r="I224" s="302">
        <v>240760</v>
      </c>
      <c r="J224" s="302"/>
      <c r="K224" s="302"/>
      <c r="L224" s="302"/>
      <c r="M224" s="302"/>
      <c r="N224" s="302"/>
    </row>
    <row r="225" spans="1:14" s="39" customFormat="1" ht="12.75">
      <c r="A225" s="290"/>
      <c r="B225" s="290"/>
      <c r="C225" s="300">
        <v>4120</v>
      </c>
      <c r="D225" s="301" t="s">
        <v>377</v>
      </c>
      <c r="E225" s="302">
        <f aca="true" t="shared" si="45" ref="E225:E292">F225+N225</f>
        <v>38460</v>
      </c>
      <c r="F225" s="302">
        <f aca="true" t="shared" si="46" ref="F225:F292">SUM(G225:M225)</f>
        <v>38460</v>
      </c>
      <c r="G225" s="302"/>
      <c r="H225" s="302"/>
      <c r="I225" s="302">
        <v>38460</v>
      </c>
      <c r="J225" s="302"/>
      <c r="K225" s="302"/>
      <c r="L225" s="302"/>
      <c r="M225" s="302"/>
      <c r="N225" s="302"/>
    </row>
    <row r="226" spans="1:14" s="39" customFormat="1" ht="25.5">
      <c r="A226" s="290"/>
      <c r="B226" s="290"/>
      <c r="C226" s="300">
        <v>4210</v>
      </c>
      <c r="D226" s="301" t="s">
        <v>379</v>
      </c>
      <c r="E226" s="302">
        <f t="shared" si="45"/>
        <v>9810</v>
      </c>
      <c r="F226" s="302">
        <f t="shared" si="46"/>
        <v>9810</v>
      </c>
      <c r="G226" s="302"/>
      <c r="H226" s="302"/>
      <c r="I226" s="302"/>
      <c r="J226" s="302"/>
      <c r="K226" s="302"/>
      <c r="L226" s="302"/>
      <c r="M226" s="302">
        <v>9810</v>
      </c>
      <c r="N226" s="302"/>
    </row>
    <row r="227" spans="1:14" s="39" customFormat="1" ht="25.5" hidden="1">
      <c r="A227" s="290"/>
      <c r="B227" s="290"/>
      <c r="C227" s="300">
        <v>4240</v>
      </c>
      <c r="D227" s="301" t="s">
        <v>456</v>
      </c>
      <c r="E227" s="302">
        <f t="shared" si="45"/>
        <v>0</v>
      </c>
      <c r="F227" s="302">
        <f t="shared" si="46"/>
        <v>0</v>
      </c>
      <c r="G227" s="302"/>
      <c r="H227" s="302"/>
      <c r="I227" s="302"/>
      <c r="J227" s="302"/>
      <c r="K227" s="302"/>
      <c r="L227" s="302"/>
      <c r="M227" s="302">
        <v>0</v>
      </c>
      <c r="N227" s="302"/>
    </row>
    <row r="228" spans="1:14" s="39" customFormat="1" ht="12.75">
      <c r="A228" s="290"/>
      <c r="B228" s="290"/>
      <c r="C228" s="300">
        <v>4260</v>
      </c>
      <c r="D228" s="301" t="s">
        <v>380</v>
      </c>
      <c r="E228" s="302">
        <f t="shared" si="45"/>
        <v>5450</v>
      </c>
      <c r="F228" s="302">
        <f t="shared" si="46"/>
        <v>5450</v>
      </c>
      <c r="G228" s="302"/>
      <c r="H228" s="302"/>
      <c r="I228" s="302"/>
      <c r="J228" s="302"/>
      <c r="K228" s="302"/>
      <c r="L228" s="302"/>
      <c r="M228" s="302">
        <v>5450</v>
      </c>
      <c r="N228" s="302"/>
    </row>
    <row r="229" spans="1:15" s="39" customFormat="1" ht="12.75">
      <c r="A229" s="290"/>
      <c r="B229" s="290"/>
      <c r="C229" s="300">
        <v>4300</v>
      </c>
      <c r="D229" s="301" t="s">
        <v>362</v>
      </c>
      <c r="E229" s="302">
        <f t="shared" si="45"/>
        <v>21600</v>
      </c>
      <c r="F229" s="302">
        <f t="shared" si="46"/>
        <v>21600</v>
      </c>
      <c r="G229" s="302"/>
      <c r="H229" s="302"/>
      <c r="I229" s="302"/>
      <c r="J229" s="302"/>
      <c r="K229" s="302"/>
      <c r="L229" s="302"/>
      <c r="M229" s="302">
        <v>21600</v>
      </c>
      <c r="N229" s="302"/>
      <c r="O229" s="39">
        <v>11680</v>
      </c>
    </row>
    <row r="230" spans="1:14" s="39" customFormat="1" ht="44.25" customHeight="1">
      <c r="A230" s="290"/>
      <c r="B230" s="290"/>
      <c r="C230" s="300">
        <v>4440</v>
      </c>
      <c r="D230" s="301" t="s">
        <v>390</v>
      </c>
      <c r="E230" s="302">
        <f t="shared" si="45"/>
        <v>103240</v>
      </c>
      <c r="F230" s="302">
        <f t="shared" si="46"/>
        <v>103240</v>
      </c>
      <c r="G230" s="302"/>
      <c r="H230" s="302"/>
      <c r="I230" s="302"/>
      <c r="J230" s="302"/>
      <c r="K230" s="302"/>
      <c r="L230" s="302"/>
      <c r="M230" s="302">
        <v>103240</v>
      </c>
      <c r="N230" s="302"/>
    </row>
    <row r="231" spans="1:14" s="62" customFormat="1" ht="12.75">
      <c r="A231" s="316"/>
      <c r="B231" s="295">
        <v>80130</v>
      </c>
      <c r="C231" s="296"/>
      <c r="D231" s="306" t="s">
        <v>461</v>
      </c>
      <c r="E231" s="298">
        <f t="shared" si="45"/>
        <v>7137673</v>
      </c>
      <c r="F231" s="298">
        <f t="shared" si="46"/>
        <v>6597673</v>
      </c>
      <c r="G231" s="298">
        <f aca="true" t="shared" si="47" ref="G231:N231">SUM(G232:G262)</f>
        <v>3984910</v>
      </c>
      <c r="H231" s="298">
        <f t="shared" si="47"/>
        <v>298665</v>
      </c>
      <c r="I231" s="298">
        <f t="shared" si="47"/>
        <v>743200</v>
      </c>
      <c r="J231" s="298">
        <f t="shared" si="47"/>
        <v>30000</v>
      </c>
      <c r="K231" s="298">
        <f t="shared" si="47"/>
        <v>0</v>
      </c>
      <c r="L231" s="298">
        <f t="shared" si="47"/>
        <v>0</v>
      </c>
      <c r="M231" s="298">
        <f t="shared" si="47"/>
        <v>1540898</v>
      </c>
      <c r="N231" s="298">
        <f t="shared" si="47"/>
        <v>540000</v>
      </c>
    </row>
    <row r="232" spans="1:14" s="39" customFormat="1" ht="100.5" customHeight="1">
      <c r="A232" s="317"/>
      <c r="B232" s="290"/>
      <c r="C232" s="300">
        <v>2330</v>
      </c>
      <c r="D232" s="301" t="s">
        <v>386</v>
      </c>
      <c r="E232" s="302">
        <f>F232+N232</f>
        <v>26000</v>
      </c>
      <c r="F232" s="302">
        <f>SUM(G232:M232)</f>
        <v>26000</v>
      </c>
      <c r="G232" s="302"/>
      <c r="H232" s="302"/>
      <c r="I232" s="302"/>
      <c r="J232" s="302">
        <v>26000</v>
      </c>
      <c r="K232" s="302"/>
      <c r="L232" s="302"/>
      <c r="M232" s="302"/>
      <c r="N232" s="302"/>
    </row>
    <row r="233" spans="1:14" s="39" customFormat="1" ht="100.5" customHeight="1">
      <c r="A233" s="317"/>
      <c r="B233" s="290"/>
      <c r="C233" s="390">
        <v>2320</v>
      </c>
      <c r="D233" s="391" t="s">
        <v>89</v>
      </c>
      <c r="E233" s="302">
        <f>F233+N233</f>
        <v>4000</v>
      </c>
      <c r="F233" s="302">
        <f>SUM(G233:M233)</f>
        <v>4000</v>
      </c>
      <c r="G233" s="302"/>
      <c r="H233" s="302"/>
      <c r="I233" s="302"/>
      <c r="J233" s="302">
        <v>4000</v>
      </c>
      <c r="K233" s="302"/>
      <c r="L233" s="302"/>
      <c r="M233" s="302"/>
      <c r="N233" s="302"/>
    </row>
    <row r="234" spans="1:14" s="39" customFormat="1" ht="25.5">
      <c r="A234" s="317"/>
      <c r="B234" s="290"/>
      <c r="C234" s="300">
        <v>3020</v>
      </c>
      <c r="D234" s="301" t="s">
        <v>607</v>
      </c>
      <c r="E234" s="302">
        <f t="shared" si="45"/>
        <v>233870</v>
      </c>
      <c r="F234" s="302">
        <f t="shared" si="46"/>
        <v>233870</v>
      </c>
      <c r="G234" s="302"/>
      <c r="H234" s="302"/>
      <c r="I234" s="302"/>
      <c r="J234" s="302"/>
      <c r="K234" s="302"/>
      <c r="L234" s="302"/>
      <c r="M234" s="302">
        <v>233870</v>
      </c>
      <c r="N234" s="302"/>
    </row>
    <row r="235" spans="1:14" s="39" customFormat="1" ht="25.5">
      <c r="A235" s="317"/>
      <c r="B235" s="290"/>
      <c r="C235" s="300">
        <v>4010</v>
      </c>
      <c r="D235" s="301" t="s">
        <v>374</v>
      </c>
      <c r="E235" s="302">
        <f t="shared" si="45"/>
        <v>3984910</v>
      </c>
      <c r="F235" s="302">
        <f t="shared" si="46"/>
        <v>3984910</v>
      </c>
      <c r="G235" s="302">
        <v>3984910</v>
      </c>
      <c r="H235" s="302"/>
      <c r="I235" s="302"/>
      <c r="J235" s="302"/>
      <c r="K235" s="302"/>
      <c r="L235" s="302"/>
      <c r="M235" s="302"/>
      <c r="N235" s="302"/>
    </row>
    <row r="236" spans="1:14" s="39" customFormat="1" ht="25.5">
      <c r="A236" s="317"/>
      <c r="B236" s="290"/>
      <c r="C236" s="300">
        <v>4040</v>
      </c>
      <c r="D236" s="301" t="s">
        <v>375</v>
      </c>
      <c r="E236" s="302">
        <f t="shared" si="45"/>
        <v>298665</v>
      </c>
      <c r="F236" s="302">
        <f t="shared" si="46"/>
        <v>298665</v>
      </c>
      <c r="G236" s="302"/>
      <c r="H236" s="302">
        <v>298665</v>
      </c>
      <c r="I236" s="302"/>
      <c r="J236" s="302"/>
      <c r="K236" s="302"/>
      <c r="L236" s="302"/>
      <c r="M236" s="302"/>
      <c r="N236" s="302"/>
    </row>
    <row r="237" spans="1:14" s="39" customFormat="1" ht="25.5">
      <c r="A237" s="317"/>
      <c r="B237" s="290"/>
      <c r="C237" s="300">
        <v>4110</v>
      </c>
      <c r="D237" s="301" t="s">
        <v>453</v>
      </c>
      <c r="E237" s="302">
        <f t="shared" si="45"/>
        <v>640210</v>
      </c>
      <c r="F237" s="302">
        <f t="shared" si="46"/>
        <v>640210</v>
      </c>
      <c r="G237" s="302"/>
      <c r="H237" s="302"/>
      <c r="I237" s="302">
        <v>640210</v>
      </c>
      <c r="J237" s="302"/>
      <c r="K237" s="302"/>
      <c r="L237" s="302"/>
      <c r="M237" s="302"/>
      <c r="N237" s="302"/>
    </row>
    <row r="238" spans="1:14" s="39" customFormat="1" ht="12.75">
      <c r="A238" s="317"/>
      <c r="B238" s="290"/>
      <c r="C238" s="300">
        <v>4120</v>
      </c>
      <c r="D238" s="301" t="s">
        <v>377</v>
      </c>
      <c r="E238" s="302">
        <f t="shared" si="45"/>
        <v>102990</v>
      </c>
      <c r="F238" s="302">
        <f t="shared" si="46"/>
        <v>102990</v>
      </c>
      <c r="G238" s="302"/>
      <c r="H238" s="302"/>
      <c r="I238" s="302">
        <v>102990</v>
      </c>
      <c r="J238" s="302"/>
      <c r="K238" s="302"/>
      <c r="L238" s="302"/>
      <c r="M238" s="302"/>
      <c r="N238" s="302"/>
    </row>
    <row r="239" spans="1:14" s="39" customFormat="1" ht="12.75">
      <c r="A239" s="317"/>
      <c r="B239" s="290"/>
      <c r="C239" s="300">
        <v>4140</v>
      </c>
      <c r="D239" s="301" t="s">
        <v>462</v>
      </c>
      <c r="E239" s="302">
        <f t="shared" si="45"/>
        <v>16400</v>
      </c>
      <c r="F239" s="302">
        <f t="shared" si="46"/>
        <v>16400</v>
      </c>
      <c r="G239" s="302"/>
      <c r="H239" s="302"/>
      <c r="I239" s="302"/>
      <c r="J239" s="302"/>
      <c r="K239" s="302"/>
      <c r="L239" s="302"/>
      <c r="M239" s="302">
        <v>16400</v>
      </c>
      <c r="N239" s="302"/>
    </row>
    <row r="240" spans="1:14" s="39" customFormat="1" ht="39.75" customHeight="1">
      <c r="A240" s="317"/>
      <c r="B240" s="290"/>
      <c r="C240" s="300">
        <v>4170</v>
      </c>
      <c r="D240" s="301" t="s">
        <v>413</v>
      </c>
      <c r="E240" s="302">
        <f t="shared" si="45"/>
        <v>131933</v>
      </c>
      <c r="F240" s="302">
        <f t="shared" si="46"/>
        <v>131933</v>
      </c>
      <c r="G240" s="302"/>
      <c r="H240" s="302"/>
      <c r="I240" s="302"/>
      <c r="J240" s="302"/>
      <c r="K240" s="302"/>
      <c r="L240" s="302"/>
      <c r="M240" s="302">
        <v>131933</v>
      </c>
      <c r="N240" s="302"/>
    </row>
    <row r="241" spans="1:14" s="39" customFormat="1" ht="25.5">
      <c r="A241" s="317"/>
      <c r="B241" s="290"/>
      <c r="C241" s="300">
        <v>4210</v>
      </c>
      <c r="D241" s="301" t="s">
        <v>379</v>
      </c>
      <c r="E241" s="302">
        <f t="shared" si="45"/>
        <v>383900</v>
      </c>
      <c r="F241" s="302">
        <f t="shared" si="46"/>
        <v>383900</v>
      </c>
      <c r="G241" s="302"/>
      <c r="H241" s="302"/>
      <c r="I241" s="302"/>
      <c r="J241" s="302"/>
      <c r="K241" s="302"/>
      <c r="L241" s="302"/>
      <c r="M241" s="302">
        <v>383900</v>
      </c>
      <c r="N241" s="302"/>
    </row>
    <row r="242" spans="1:14" s="39" customFormat="1" ht="25.5" hidden="1">
      <c r="A242" s="317"/>
      <c r="B242" s="290"/>
      <c r="C242" s="300">
        <v>4240</v>
      </c>
      <c r="D242" s="301" t="s">
        <v>463</v>
      </c>
      <c r="E242" s="302">
        <f t="shared" si="45"/>
        <v>0</v>
      </c>
      <c r="F242" s="302">
        <f t="shared" si="46"/>
        <v>0</v>
      </c>
      <c r="G242" s="302"/>
      <c r="H242" s="302"/>
      <c r="I242" s="302"/>
      <c r="J242" s="302"/>
      <c r="K242" s="302"/>
      <c r="L242" s="302"/>
      <c r="M242" s="302"/>
      <c r="N242" s="302"/>
    </row>
    <row r="243" spans="1:14" s="39" customFormat="1" ht="12.75">
      <c r="A243" s="317"/>
      <c r="B243" s="290"/>
      <c r="C243" s="300">
        <v>4260</v>
      </c>
      <c r="D243" s="301" t="s">
        <v>380</v>
      </c>
      <c r="E243" s="302">
        <f t="shared" si="45"/>
        <v>200520</v>
      </c>
      <c r="F243" s="302">
        <f t="shared" si="46"/>
        <v>200520</v>
      </c>
      <c r="G243" s="302"/>
      <c r="H243" s="302"/>
      <c r="I243" s="302"/>
      <c r="J243" s="302"/>
      <c r="K243" s="302"/>
      <c r="L243" s="302"/>
      <c r="M243" s="302">
        <v>200520</v>
      </c>
      <c r="N243" s="302"/>
    </row>
    <row r="244" spans="1:14" s="39" customFormat="1" ht="12.75">
      <c r="A244" s="317"/>
      <c r="B244" s="290"/>
      <c r="C244" s="300">
        <v>4270</v>
      </c>
      <c r="D244" s="301" t="s">
        <v>381</v>
      </c>
      <c r="E244" s="302">
        <f t="shared" si="45"/>
        <v>89858</v>
      </c>
      <c r="F244" s="302">
        <f t="shared" si="46"/>
        <v>89858</v>
      </c>
      <c r="G244" s="302"/>
      <c r="H244" s="302"/>
      <c r="I244" s="302"/>
      <c r="J244" s="302"/>
      <c r="K244" s="302"/>
      <c r="L244" s="302"/>
      <c r="M244" s="302">
        <v>89858</v>
      </c>
      <c r="N244" s="302"/>
    </row>
    <row r="245" spans="1:14" s="39" customFormat="1" ht="12.75">
      <c r="A245" s="317"/>
      <c r="B245" s="290"/>
      <c r="C245" s="300">
        <v>4280</v>
      </c>
      <c r="D245" s="301" t="s">
        <v>382</v>
      </c>
      <c r="E245" s="302">
        <f t="shared" si="45"/>
        <v>9050</v>
      </c>
      <c r="F245" s="302">
        <f t="shared" si="46"/>
        <v>9050</v>
      </c>
      <c r="G245" s="302"/>
      <c r="H245" s="302"/>
      <c r="I245" s="302"/>
      <c r="J245" s="302"/>
      <c r="K245" s="302"/>
      <c r="L245" s="302"/>
      <c r="M245" s="302">
        <v>9050</v>
      </c>
      <c r="N245" s="302"/>
    </row>
    <row r="246" spans="1:14" s="39" customFormat="1" ht="12.75">
      <c r="A246" s="317"/>
      <c r="B246" s="290"/>
      <c r="C246" s="300">
        <v>4300</v>
      </c>
      <c r="D246" s="301" t="s">
        <v>424</v>
      </c>
      <c r="E246" s="302">
        <f t="shared" si="45"/>
        <v>110060</v>
      </c>
      <c r="F246" s="302">
        <f t="shared" si="46"/>
        <v>110060</v>
      </c>
      <c r="G246" s="302"/>
      <c r="H246" s="302"/>
      <c r="I246" s="302"/>
      <c r="J246" s="302"/>
      <c r="K246" s="302"/>
      <c r="L246" s="302"/>
      <c r="M246" s="302">
        <v>110060</v>
      </c>
      <c r="N246" s="302"/>
    </row>
    <row r="247" spans="1:14" s="39" customFormat="1" ht="25.5">
      <c r="A247" s="317"/>
      <c r="B247" s="290"/>
      <c r="C247" s="300">
        <v>4350</v>
      </c>
      <c r="D247" s="301" t="s">
        <v>383</v>
      </c>
      <c r="E247" s="302">
        <f t="shared" si="45"/>
        <v>7710</v>
      </c>
      <c r="F247" s="302">
        <f t="shared" si="46"/>
        <v>7710</v>
      </c>
      <c r="G247" s="302"/>
      <c r="H247" s="302"/>
      <c r="I247" s="302"/>
      <c r="J247" s="302"/>
      <c r="K247" s="302"/>
      <c r="L247" s="302"/>
      <c r="M247" s="302">
        <v>7710</v>
      </c>
      <c r="N247" s="302"/>
    </row>
    <row r="248" spans="1:14" s="39" customFormat="1" ht="38.25">
      <c r="A248" s="317"/>
      <c r="B248" s="290"/>
      <c r="C248" s="300">
        <v>4360</v>
      </c>
      <c r="D248" s="301" t="s">
        <v>464</v>
      </c>
      <c r="E248" s="302">
        <f t="shared" si="45"/>
        <v>5270</v>
      </c>
      <c r="F248" s="302">
        <f t="shared" si="46"/>
        <v>5270</v>
      </c>
      <c r="G248" s="302"/>
      <c r="H248" s="302"/>
      <c r="I248" s="302"/>
      <c r="J248" s="302"/>
      <c r="K248" s="302"/>
      <c r="L248" s="302"/>
      <c r="M248" s="302">
        <v>5270</v>
      </c>
      <c r="N248" s="302"/>
    </row>
    <row r="249" spans="1:14" s="39" customFormat="1" ht="52.5" customHeight="1">
      <c r="A249" s="317"/>
      <c r="B249" s="290"/>
      <c r="C249" s="300">
        <v>4370</v>
      </c>
      <c r="D249" s="301" t="s">
        <v>457</v>
      </c>
      <c r="E249" s="302">
        <f t="shared" si="45"/>
        <v>26850</v>
      </c>
      <c r="F249" s="302">
        <f t="shared" si="46"/>
        <v>26850</v>
      </c>
      <c r="G249" s="302"/>
      <c r="H249" s="302"/>
      <c r="I249" s="302"/>
      <c r="J249" s="302"/>
      <c r="K249" s="302"/>
      <c r="L249" s="302"/>
      <c r="M249" s="302">
        <v>26850</v>
      </c>
      <c r="N249" s="302"/>
    </row>
    <row r="250" spans="1:14" s="39" customFormat="1" ht="12.75">
      <c r="A250" s="317"/>
      <c r="B250" s="290"/>
      <c r="C250" s="300">
        <v>4410</v>
      </c>
      <c r="D250" s="301" t="s">
        <v>388</v>
      </c>
      <c r="E250" s="302">
        <f t="shared" si="45"/>
        <v>12710</v>
      </c>
      <c r="F250" s="302">
        <f t="shared" si="46"/>
        <v>12710</v>
      </c>
      <c r="G250" s="302"/>
      <c r="H250" s="302"/>
      <c r="I250" s="302"/>
      <c r="J250" s="302"/>
      <c r="K250" s="302"/>
      <c r="L250" s="302"/>
      <c r="M250" s="302">
        <v>12710</v>
      </c>
      <c r="N250" s="302"/>
    </row>
    <row r="251" spans="1:14" s="39" customFormat="1" ht="28.5">
      <c r="A251" s="317"/>
      <c r="B251" s="290"/>
      <c r="C251" s="372">
        <v>4420</v>
      </c>
      <c r="D251" s="373" t="s">
        <v>102</v>
      </c>
      <c r="E251" s="302">
        <f t="shared" si="45"/>
        <v>5307</v>
      </c>
      <c r="F251" s="302">
        <f t="shared" si="46"/>
        <v>5307</v>
      </c>
      <c r="G251" s="302"/>
      <c r="H251" s="302"/>
      <c r="I251" s="302"/>
      <c r="J251" s="302"/>
      <c r="K251" s="302"/>
      <c r="L251" s="302"/>
      <c r="M251" s="302">
        <v>5307</v>
      </c>
      <c r="N251" s="302"/>
    </row>
    <row r="252" spans="1:14" s="39" customFormat="1" ht="12.75">
      <c r="A252" s="317"/>
      <c r="B252" s="290"/>
      <c r="C252" s="300">
        <v>4430</v>
      </c>
      <c r="D252" s="301" t="s">
        <v>389</v>
      </c>
      <c r="E252" s="302">
        <f t="shared" si="45"/>
        <v>29390</v>
      </c>
      <c r="F252" s="302">
        <f t="shared" si="46"/>
        <v>29390</v>
      </c>
      <c r="G252" s="302"/>
      <c r="H252" s="302"/>
      <c r="I252" s="302"/>
      <c r="J252" s="302"/>
      <c r="K252" s="302"/>
      <c r="L252" s="302"/>
      <c r="M252" s="302">
        <v>29390</v>
      </c>
      <c r="N252" s="302"/>
    </row>
    <row r="253" spans="1:14" s="39" customFormat="1" ht="25.5">
      <c r="A253" s="317"/>
      <c r="B253" s="290"/>
      <c r="C253" s="300">
        <v>4440</v>
      </c>
      <c r="D253" s="301" t="s">
        <v>390</v>
      </c>
      <c r="E253" s="302">
        <f t="shared" si="45"/>
        <v>228290</v>
      </c>
      <c r="F253" s="302">
        <f t="shared" si="46"/>
        <v>228290</v>
      </c>
      <c r="G253" s="302"/>
      <c r="H253" s="302"/>
      <c r="I253" s="302"/>
      <c r="J253" s="302"/>
      <c r="K253" s="302"/>
      <c r="L253" s="302"/>
      <c r="M253" s="302">
        <v>228290</v>
      </c>
      <c r="N253" s="302"/>
    </row>
    <row r="254" spans="1:14" s="39" customFormat="1" ht="25.5">
      <c r="A254" s="317"/>
      <c r="B254" s="290"/>
      <c r="C254" s="300">
        <v>4510</v>
      </c>
      <c r="D254" s="301" t="s">
        <v>643</v>
      </c>
      <c r="E254" s="302">
        <f t="shared" si="45"/>
        <v>520</v>
      </c>
      <c r="F254" s="302">
        <f t="shared" si="46"/>
        <v>520</v>
      </c>
      <c r="G254" s="302"/>
      <c r="H254" s="302"/>
      <c r="I254" s="302"/>
      <c r="J254" s="302"/>
      <c r="K254" s="302"/>
      <c r="L254" s="302"/>
      <c r="M254" s="302">
        <v>520</v>
      </c>
      <c r="N254" s="302"/>
    </row>
    <row r="255" spans="1:14" s="39" customFormat="1" ht="12.75">
      <c r="A255" s="317"/>
      <c r="B255" s="290"/>
      <c r="C255" s="300">
        <v>4480</v>
      </c>
      <c r="D255" s="301" t="s">
        <v>465</v>
      </c>
      <c r="E255" s="302">
        <f t="shared" si="45"/>
        <v>2990</v>
      </c>
      <c r="F255" s="302">
        <f t="shared" si="46"/>
        <v>2990</v>
      </c>
      <c r="G255" s="302"/>
      <c r="H255" s="302"/>
      <c r="I255" s="302"/>
      <c r="J255" s="302"/>
      <c r="K255" s="302"/>
      <c r="L255" s="302"/>
      <c r="M255" s="302">
        <v>2990</v>
      </c>
      <c r="N255" s="302"/>
    </row>
    <row r="256" spans="1:14" s="39" customFormat="1" ht="51" customHeight="1">
      <c r="A256" s="317"/>
      <c r="B256" s="290"/>
      <c r="C256" s="300">
        <v>4500</v>
      </c>
      <c r="D256" s="301" t="s">
        <v>428</v>
      </c>
      <c r="E256" s="302">
        <f t="shared" si="45"/>
        <v>780</v>
      </c>
      <c r="F256" s="302">
        <f t="shared" si="46"/>
        <v>780</v>
      </c>
      <c r="G256" s="302"/>
      <c r="H256" s="302"/>
      <c r="I256" s="302"/>
      <c r="J256" s="302"/>
      <c r="K256" s="302"/>
      <c r="L256" s="302"/>
      <c r="M256" s="302">
        <v>780</v>
      </c>
      <c r="N256" s="302"/>
    </row>
    <row r="257" spans="1:14" s="39" customFormat="1" ht="50.25" customHeight="1">
      <c r="A257" s="317"/>
      <c r="B257" s="290"/>
      <c r="C257" s="300">
        <v>4700</v>
      </c>
      <c r="D257" s="301" t="s">
        <v>606</v>
      </c>
      <c r="E257" s="302">
        <f t="shared" si="45"/>
        <v>8200</v>
      </c>
      <c r="F257" s="302">
        <f t="shared" si="46"/>
        <v>8200</v>
      </c>
      <c r="G257" s="302"/>
      <c r="H257" s="302"/>
      <c r="I257" s="302"/>
      <c r="J257" s="302"/>
      <c r="K257" s="302"/>
      <c r="L257" s="302"/>
      <c r="M257" s="302">
        <v>8200</v>
      </c>
      <c r="N257" s="302"/>
    </row>
    <row r="258" spans="1:14" s="39" customFormat="1" ht="51">
      <c r="A258" s="317"/>
      <c r="B258" s="290"/>
      <c r="C258" s="300">
        <v>4740</v>
      </c>
      <c r="D258" s="301" t="s">
        <v>416</v>
      </c>
      <c r="E258" s="302">
        <f t="shared" si="45"/>
        <v>10030</v>
      </c>
      <c r="F258" s="302">
        <f t="shared" si="46"/>
        <v>10030</v>
      </c>
      <c r="G258" s="302"/>
      <c r="H258" s="302"/>
      <c r="I258" s="302"/>
      <c r="J258" s="302"/>
      <c r="K258" s="302"/>
      <c r="L258" s="302"/>
      <c r="M258" s="302">
        <v>10030</v>
      </c>
      <c r="N258" s="302"/>
    </row>
    <row r="259" spans="1:14" s="39" customFormat="1" ht="38.25">
      <c r="A259" s="317"/>
      <c r="B259" s="290"/>
      <c r="C259" s="300">
        <v>4750</v>
      </c>
      <c r="D259" s="301" t="s">
        <v>458</v>
      </c>
      <c r="E259" s="302">
        <f t="shared" si="45"/>
        <v>27260</v>
      </c>
      <c r="F259" s="302">
        <f t="shared" si="46"/>
        <v>27260</v>
      </c>
      <c r="G259" s="302"/>
      <c r="H259" s="302"/>
      <c r="I259" s="302"/>
      <c r="J259" s="302"/>
      <c r="K259" s="302"/>
      <c r="L259" s="302"/>
      <c r="M259" s="302">
        <v>27260</v>
      </c>
      <c r="N259" s="302"/>
    </row>
    <row r="260" spans="1:14" s="39" customFormat="1" ht="25.5" hidden="1">
      <c r="A260" s="317"/>
      <c r="B260" s="290"/>
      <c r="C260" s="300">
        <v>4610</v>
      </c>
      <c r="D260" s="301" t="s">
        <v>429</v>
      </c>
      <c r="E260" s="302">
        <f t="shared" si="45"/>
        <v>0</v>
      </c>
      <c r="F260" s="302">
        <f t="shared" si="46"/>
        <v>0</v>
      </c>
      <c r="G260" s="302"/>
      <c r="H260" s="302"/>
      <c r="I260" s="302"/>
      <c r="J260" s="302"/>
      <c r="K260" s="302"/>
      <c r="L260" s="302"/>
      <c r="M260" s="302"/>
      <c r="N260" s="302"/>
    </row>
    <row r="261" spans="1:14" s="39" customFormat="1" ht="37.5" customHeight="1">
      <c r="A261" s="317"/>
      <c r="B261" s="290"/>
      <c r="C261" s="300">
        <v>6050</v>
      </c>
      <c r="D261" s="308" t="s">
        <v>394</v>
      </c>
      <c r="E261" s="302">
        <f t="shared" si="45"/>
        <v>530000</v>
      </c>
      <c r="F261" s="302">
        <f t="shared" si="46"/>
        <v>0</v>
      </c>
      <c r="G261" s="302"/>
      <c r="H261" s="302"/>
      <c r="I261" s="302"/>
      <c r="J261" s="302"/>
      <c r="K261" s="302"/>
      <c r="L261" s="302"/>
      <c r="M261" s="302"/>
      <c r="N261" s="302">
        <f>300000+230000</f>
        <v>530000</v>
      </c>
    </row>
    <row r="262" spans="1:14" s="39" customFormat="1" ht="38.25">
      <c r="A262" s="317"/>
      <c r="B262" s="290"/>
      <c r="C262" s="300">
        <v>6060</v>
      </c>
      <c r="D262" s="308" t="s">
        <v>608</v>
      </c>
      <c r="E262" s="302">
        <f t="shared" si="45"/>
        <v>10000</v>
      </c>
      <c r="F262" s="302">
        <f t="shared" si="46"/>
        <v>0</v>
      </c>
      <c r="G262" s="302"/>
      <c r="H262" s="302"/>
      <c r="I262" s="302"/>
      <c r="J262" s="302"/>
      <c r="K262" s="302"/>
      <c r="L262" s="302"/>
      <c r="M262" s="302"/>
      <c r="N262" s="302">
        <v>10000</v>
      </c>
    </row>
    <row r="263" spans="1:14" s="62" customFormat="1" ht="12.75">
      <c r="A263" s="316"/>
      <c r="B263" s="295">
        <v>80132</v>
      </c>
      <c r="C263" s="296"/>
      <c r="D263" s="306" t="s">
        <v>466</v>
      </c>
      <c r="E263" s="298">
        <f t="shared" si="45"/>
        <v>1261890</v>
      </c>
      <c r="F263" s="298">
        <f t="shared" si="46"/>
        <v>1261890</v>
      </c>
      <c r="G263" s="298">
        <f aca="true" t="shared" si="48" ref="G263:N263">SUM(G264:G285)</f>
        <v>826680</v>
      </c>
      <c r="H263" s="298">
        <f t="shared" si="48"/>
        <v>60000</v>
      </c>
      <c r="I263" s="298">
        <f t="shared" si="48"/>
        <v>151800</v>
      </c>
      <c r="J263" s="298">
        <f t="shared" si="48"/>
        <v>0</v>
      </c>
      <c r="K263" s="298">
        <f t="shared" si="48"/>
        <v>0</v>
      </c>
      <c r="L263" s="298">
        <f t="shared" si="48"/>
        <v>0</v>
      </c>
      <c r="M263" s="298">
        <f t="shared" si="48"/>
        <v>223410</v>
      </c>
      <c r="N263" s="298">
        <f t="shared" si="48"/>
        <v>0</v>
      </c>
    </row>
    <row r="264" spans="1:14" s="39" customFormat="1" ht="25.5">
      <c r="A264" s="317"/>
      <c r="B264" s="290"/>
      <c r="C264" s="300">
        <v>3020</v>
      </c>
      <c r="D264" s="301" t="s">
        <v>607</v>
      </c>
      <c r="E264" s="302">
        <f t="shared" si="45"/>
        <v>24330</v>
      </c>
      <c r="F264" s="302">
        <f t="shared" si="46"/>
        <v>24330</v>
      </c>
      <c r="G264" s="302"/>
      <c r="H264" s="302"/>
      <c r="I264" s="302"/>
      <c r="J264" s="302"/>
      <c r="K264" s="302"/>
      <c r="L264" s="302"/>
      <c r="M264" s="302">
        <v>24330</v>
      </c>
      <c r="N264" s="302"/>
    </row>
    <row r="265" spans="1:14" s="39" customFormat="1" ht="25.5">
      <c r="A265" s="317"/>
      <c r="B265" s="290"/>
      <c r="C265" s="300">
        <v>4010</v>
      </c>
      <c r="D265" s="301" t="s">
        <v>374</v>
      </c>
      <c r="E265" s="302">
        <f t="shared" si="45"/>
        <v>826680</v>
      </c>
      <c r="F265" s="302">
        <f t="shared" si="46"/>
        <v>826680</v>
      </c>
      <c r="G265" s="302">
        <v>826680</v>
      </c>
      <c r="H265" s="302"/>
      <c r="I265" s="302"/>
      <c r="J265" s="302"/>
      <c r="K265" s="302"/>
      <c r="L265" s="302"/>
      <c r="M265" s="302"/>
      <c r="N265" s="302"/>
    </row>
    <row r="266" spans="1:14" s="39" customFormat="1" ht="25.5">
      <c r="A266" s="317"/>
      <c r="B266" s="290"/>
      <c r="C266" s="300">
        <v>4040</v>
      </c>
      <c r="D266" s="301" t="s">
        <v>375</v>
      </c>
      <c r="E266" s="302">
        <f t="shared" si="45"/>
        <v>60000</v>
      </c>
      <c r="F266" s="302">
        <f t="shared" si="46"/>
        <v>60000</v>
      </c>
      <c r="G266" s="302"/>
      <c r="H266" s="302">
        <v>60000</v>
      </c>
      <c r="I266" s="302"/>
      <c r="J266" s="302"/>
      <c r="K266" s="302"/>
      <c r="L266" s="302"/>
      <c r="M266" s="302"/>
      <c r="N266" s="302"/>
    </row>
    <row r="267" spans="1:14" s="39" customFormat="1" ht="25.5">
      <c r="A267" s="317"/>
      <c r="B267" s="290"/>
      <c r="C267" s="300">
        <v>4110</v>
      </c>
      <c r="D267" s="301" t="s">
        <v>453</v>
      </c>
      <c r="E267" s="302">
        <f t="shared" si="45"/>
        <v>130520</v>
      </c>
      <c r="F267" s="302">
        <f t="shared" si="46"/>
        <v>130520</v>
      </c>
      <c r="G267" s="302"/>
      <c r="H267" s="302"/>
      <c r="I267" s="302">
        <v>130520</v>
      </c>
      <c r="J267" s="302"/>
      <c r="K267" s="302"/>
      <c r="L267" s="302"/>
      <c r="M267" s="302"/>
      <c r="N267" s="302"/>
    </row>
    <row r="268" spans="1:14" s="39" customFormat="1" ht="12.75">
      <c r="A268" s="317"/>
      <c r="B268" s="290"/>
      <c r="C268" s="300">
        <v>4120</v>
      </c>
      <c r="D268" s="301" t="s">
        <v>377</v>
      </c>
      <c r="E268" s="302">
        <f t="shared" si="45"/>
        <v>21280</v>
      </c>
      <c r="F268" s="302">
        <f t="shared" si="46"/>
        <v>21280</v>
      </c>
      <c r="G268" s="302"/>
      <c r="H268" s="302"/>
      <c r="I268" s="302">
        <v>21280</v>
      </c>
      <c r="J268" s="302"/>
      <c r="K268" s="302"/>
      <c r="L268" s="302"/>
      <c r="M268" s="302"/>
      <c r="N268" s="302"/>
    </row>
    <row r="269" spans="1:14" s="39" customFormat="1" ht="34.5" customHeight="1">
      <c r="A269" s="317"/>
      <c r="B269" s="290"/>
      <c r="C269" s="300">
        <v>4170</v>
      </c>
      <c r="D269" s="301" t="s">
        <v>413</v>
      </c>
      <c r="E269" s="302">
        <f t="shared" si="45"/>
        <v>3730</v>
      </c>
      <c r="F269" s="302">
        <f t="shared" si="46"/>
        <v>3730</v>
      </c>
      <c r="G269" s="302"/>
      <c r="H269" s="302"/>
      <c r="I269" s="302"/>
      <c r="J269" s="302"/>
      <c r="K269" s="302"/>
      <c r="L269" s="302"/>
      <c r="M269" s="302">
        <v>3730</v>
      </c>
      <c r="N269" s="302"/>
    </row>
    <row r="270" spans="1:14" s="39" customFormat="1" ht="25.5">
      <c r="A270" s="317"/>
      <c r="B270" s="290"/>
      <c r="C270" s="300">
        <v>4210</v>
      </c>
      <c r="D270" s="301" t="s">
        <v>379</v>
      </c>
      <c r="E270" s="302">
        <f t="shared" si="45"/>
        <v>12930</v>
      </c>
      <c r="F270" s="302">
        <f t="shared" si="46"/>
        <v>12930</v>
      </c>
      <c r="G270" s="302"/>
      <c r="H270" s="302"/>
      <c r="I270" s="302"/>
      <c r="J270" s="302"/>
      <c r="K270" s="302"/>
      <c r="L270" s="302"/>
      <c r="M270" s="302">
        <v>12930</v>
      </c>
      <c r="N270" s="302"/>
    </row>
    <row r="271" spans="1:14" s="39" customFormat="1" ht="25.5">
      <c r="A271" s="317"/>
      <c r="B271" s="299"/>
      <c r="C271" s="300">
        <v>4240</v>
      </c>
      <c r="D271" s="301" t="s">
        <v>463</v>
      </c>
      <c r="E271" s="302">
        <f t="shared" si="45"/>
        <v>19500</v>
      </c>
      <c r="F271" s="302">
        <f t="shared" si="46"/>
        <v>19500</v>
      </c>
      <c r="G271" s="302"/>
      <c r="H271" s="302"/>
      <c r="I271" s="302"/>
      <c r="J271" s="302"/>
      <c r="K271" s="302"/>
      <c r="L271" s="302"/>
      <c r="M271" s="302">
        <v>19500</v>
      </c>
      <c r="N271" s="302"/>
    </row>
    <row r="272" spans="1:14" s="39" customFormat="1" ht="12.75">
      <c r="A272" s="317"/>
      <c r="B272" s="290"/>
      <c r="C272" s="300">
        <v>4260</v>
      </c>
      <c r="D272" s="301" t="s">
        <v>380</v>
      </c>
      <c r="E272" s="302">
        <f t="shared" si="45"/>
        <v>12560</v>
      </c>
      <c r="F272" s="302">
        <f t="shared" si="46"/>
        <v>12560</v>
      </c>
      <c r="G272" s="302"/>
      <c r="H272" s="302"/>
      <c r="I272" s="302"/>
      <c r="J272" s="302"/>
      <c r="K272" s="302"/>
      <c r="L272" s="302"/>
      <c r="M272" s="302">
        <v>12560</v>
      </c>
      <c r="N272" s="302"/>
    </row>
    <row r="273" spans="1:14" s="39" customFormat="1" ht="12.75">
      <c r="A273" s="317"/>
      <c r="B273" s="290"/>
      <c r="C273" s="300">
        <v>4270</v>
      </c>
      <c r="D273" s="301" t="s">
        <v>381</v>
      </c>
      <c r="E273" s="302">
        <f t="shared" si="45"/>
        <v>24790</v>
      </c>
      <c r="F273" s="302">
        <f t="shared" si="46"/>
        <v>24790</v>
      </c>
      <c r="G273" s="302"/>
      <c r="H273" s="302"/>
      <c r="I273" s="302"/>
      <c r="J273" s="302"/>
      <c r="K273" s="302"/>
      <c r="L273" s="302"/>
      <c r="M273" s="302">
        <v>24790</v>
      </c>
      <c r="N273" s="302"/>
    </row>
    <row r="274" spans="1:14" s="39" customFormat="1" ht="12.75">
      <c r="A274" s="317"/>
      <c r="B274" s="290"/>
      <c r="C274" s="300">
        <v>4280</v>
      </c>
      <c r="D274" s="301" t="s">
        <v>382</v>
      </c>
      <c r="E274" s="302">
        <f t="shared" si="45"/>
        <v>650</v>
      </c>
      <c r="F274" s="302">
        <f t="shared" si="46"/>
        <v>650</v>
      </c>
      <c r="G274" s="302"/>
      <c r="H274" s="302"/>
      <c r="I274" s="302"/>
      <c r="J274" s="302"/>
      <c r="K274" s="302"/>
      <c r="L274" s="302"/>
      <c r="M274" s="302">
        <v>650</v>
      </c>
      <c r="N274" s="302"/>
    </row>
    <row r="275" spans="1:14" s="39" customFormat="1" ht="12.75">
      <c r="A275" s="317"/>
      <c r="B275" s="290"/>
      <c r="C275" s="300">
        <v>4300</v>
      </c>
      <c r="D275" s="301" t="s">
        <v>424</v>
      </c>
      <c r="E275" s="302">
        <f t="shared" si="45"/>
        <v>4950</v>
      </c>
      <c r="F275" s="302">
        <f t="shared" si="46"/>
        <v>4950</v>
      </c>
      <c r="G275" s="302"/>
      <c r="H275" s="302"/>
      <c r="I275" s="302"/>
      <c r="J275" s="302"/>
      <c r="K275" s="302"/>
      <c r="L275" s="302"/>
      <c r="M275" s="302">
        <v>4950</v>
      </c>
      <c r="N275" s="302"/>
    </row>
    <row r="276" spans="1:14" s="39" customFormat="1" ht="25.5">
      <c r="A276" s="317"/>
      <c r="B276" s="290"/>
      <c r="C276" s="300">
        <v>4350</v>
      </c>
      <c r="D276" s="301" t="s">
        <v>383</v>
      </c>
      <c r="E276" s="302">
        <f t="shared" si="45"/>
        <v>1800</v>
      </c>
      <c r="F276" s="302">
        <f t="shared" si="46"/>
        <v>1800</v>
      </c>
      <c r="G276" s="302"/>
      <c r="H276" s="302"/>
      <c r="I276" s="302"/>
      <c r="J276" s="302"/>
      <c r="K276" s="302"/>
      <c r="L276" s="302"/>
      <c r="M276" s="302">
        <v>1800</v>
      </c>
      <c r="N276" s="302"/>
    </row>
    <row r="277" spans="1:14" s="39" customFormat="1" ht="38.25">
      <c r="A277" s="317"/>
      <c r="B277" s="290"/>
      <c r="C277" s="300">
        <v>4370</v>
      </c>
      <c r="D277" s="301" t="s">
        <v>457</v>
      </c>
      <c r="E277" s="302">
        <f t="shared" si="45"/>
        <v>4850</v>
      </c>
      <c r="F277" s="302">
        <f t="shared" si="46"/>
        <v>4850</v>
      </c>
      <c r="G277" s="302"/>
      <c r="H277" s="302"/>
      <c r="I277" s="302"/>
      <c r="J277" s="302"/>
      <c r="K277" s="302"/>
      <c r="L277" s="302"/>
      <c r="M277" s="302">
        <v>4850</v>
      </c>
      <c r="N277" s="302"/>
    </row>
    <row r="278" spans="1:14" s="39" customFormat="1" ht="53.25" customHeight="1">
      <c r="A278" s="317"/>
      <c r="B278" s="290"/>
      <c r="C278" s="300">
        <v>4400</v>
      </c>
      <c r="D278" s="301" t="s">
        <v>106</v>
      </c>
      <c r="E278" s="302">
        <f t="shared" si="45"/>
        <v>38540</v>
      </c>
      <c r="F278" s="302">
        <f t="shared" si="46"/>
        <v>38540</v>
      </c>
      <c r="G278" s="302"/>
      <c r="H278" s="302"/>
      <c r="I278" s="302"/>
      <c r="J278" s="302"/>
      <c r="K278" s="302"/>
      <c r="L278" s="302"/>
      <c r="M278" s="302">
        <v>38540</v>
      </c>
      <c r="N278" s="302"/>
    </row>
    <row r="279" spans="1:14" s="39" customFormat="1" ht="12.75">
      <c r="A279" s="317"/>
      <c r="B279" s="290"/>
      <c r="C279" s="300">
        <v>4410</v>
      </c>
      <c r="D279" s="301" t="s">
        <v>388</v>
      </c>
      <c r="E279" s="302">
        <f t="shared" si="45"/>
        <v>3870</v>
      </c>
      <c r="F279" s="302">
        <f t="shared" si="46"/>
        <v>3870</v>
      </c>
      <c r="G279" s="302"/>
      <c r="H279" s="302"/>
      <c r="I279" s="302"/>
      <c r="J279" s="302"/>
      <c r="K279" s="302"/>
      <c r="L279" s="302"/>
      <c r="M279" s="302">
        <v>3870</v>
      </c>
      <c r="N279" s="302"/>
    </row>
    <row r="280" spans="1:14" s="39" customFormat="1" ht="12.75">
      <c r="A280" s="317"/>
      <c r="B280" s="290"/>
      <c r="C280" s="300">
        <v>4430</v>
      </c>
      <c r="D280" s="301" t="s">
        <v>389</v>
      </c>
      <c r="E280" s="302">
        <f t="shared" si="45"/>
        <v>430</v>
      </c>
      <c r="F280" s="302">
        <f t="shared" si="46"/>
        <v>430</v>
      </c>
      <c r="G280" s="302"/>
      <c r="H280" s="302"/>
      <c r="I280" s="302"/>
      <c r="J280" s="302"/>
      <c r="K280" s="302"/>
      <c r="L280" s="302"/>
      <c r="M280" s="302">
        <v>430</v>
      </c>
      <c r="N280" s="302"/>
    </row>
    <row r="281" spans="1:14" s="39" customFormat="1" ht="25.5">
      <c r="A281" s="317"/>
      <c r="B281" s="290"/>
      <c r="C281" s="300">
        <v>4440</v>
      </c>
      <c r="D281" s="301" t="s">
        <v>390</v>
      </c>
      <c r="E281" s="302">
        <f t="shared" si="45"/>
        <v>60660</v>
      </c>
      <c r="F281" s="302">
        <f t="shared" si="46"/>
        <v>60660</v>
      </c>
      <c r="G281" s="302"/>
      <c r="H281" s="302"/>
      <c r="I281" s="302"/>
      <c r="J281" s="302"/>
      <c r="K281" s="302"/>
      <c r="L281" s="302"/>
      <c r="M281" s="302">
        <v>60660</v>
      </c>
      <c r="N281" s="302"/>
    </row>
    <row r="282" spans="1:14" s="39" customFormat="1" ht="25.5">
      <c r="A282" s="317"/>
      <c r="B282" s="290"/>
      <c r="C282" s="300">
        <v>4510</v>
      </c>
      <c r="D282" s="301" t="s">
        <v>643</v>
      </c>
      <c r="E282" s="302">
        <f t="shared" si="45"/>
        <v>210</v>
      </c>
      <c r="F282" s="302">
        <f t="shared" si="46"/>
        <v>210</v>
      </c>
      <c r="G282" s="302"/>
      <c r="H282" s="302"/>
      <c r="I282" s="302"/>
      <c r="J282" s="302"/>
      <c r="K282" s="302"/>
      <c r="L282" s="302"/>
      <c r="M282" s="302">
        <v>210</v>
      </c>
      <c r="N282" s="302"/>
    </row>
    <row r="283" spans="1:14" s="39" customFormat="1" ht="38.25">
      <c r="A283" s="317"/>
      <c r="B283" s="290"/>
      <c r="C283" s="300">
        <v>4700</v>
      </c>
      <c r="D283" s="301" t="s">
        <v>606</v>
      </c>
      <c r="E283" s="302">
        <f t="shared" si="45"/>
        <v>1500</v>
      </c>
      <c r="F283" s="302">
        <f t="shared" si="46"/>
        <v>1500</v>
      </c>
      <c r="G283" s="302"/>
      <c r="H283" s="302"/>
      <c r="I283" s="302"/>
      <c r="J283" s="302"/>
      <c r="K283" s="302"/>
      <c r="L283" s="302"/>
      <c r="M283" s="302">
        <v>1500</v>
      </c>
      <c r="N283" s="302"/>
    </row>
    <row r="284" spans="1:14" s="39" customFormat="1" ht="51">
      <c r="A284" s="317"/>
      <c r="B284" s="290"/>
      <c r="C284" s="300">
        <v>4740</v>
      </c>
      <c r="D284" s="301" t="s">
        <v>416</v>
      </c>
      <c r="E284" s="302">
        <f t="shared" si="45"/>
        <v>1070</v>
      </c>
      <c r="F284" s="302">
        <f t="shared" si="46"/>
        <v>1070</v>
      </c>
      <c r="G284" s="302"/>
      <c r="H284" s="302"/>
      <c r="I284" s="302"/>
      <c r="J284" s="302"/>
      <c r="K284" s="302"/>
      <c r="L284" s="302"/>
      <c r="M284" s="302">
        <v>1070</v>
      </c>
      <c r="N284" s="302"/>
    </row>
    <row r="285" spans="1:14" s="39" customFormat="1" ht="38.25">
      <c r="A285" s="317"/>
      <c r="B285" s="290"/>
      <c r="C285" s="300">
        <v>4750</v>
      </c>
      <c r="D285" s="301" t="s">
        <v>458</v>
      </c>
      <c r="E285" s="302">
        <f t="shared" si="45"/>
        <v>7040</v>
      </c>
      <c r="F285" s="302">
        <f t="shared" si="46"/>
        <v>7040</v>
      </c>
      <c r="G285" s="302"/>
      <c r="H285" s="302"/>
      <c r="I285" s="302"/>
      <c r="J285" s="302"/>
      <c r="K285" s="302"/>
      <c r="L285" s="302"/>
      <c r="M285" s="302">
        <v>7040</v>
      </c>
      <c r="N285" s="302"/>
    </row>
    <row r="286" spans="1:14" s="39" customFormat="1" ht="38.25" hidden="1">
      <c r="A286" s="317"/>
      <c r="B286" s="290"/>
      <c r="C286" s="300">
        <v>6060</v>
      </c>
      <c r="D286" s="301" t="s">
        <v>608</v>
      </c>
      <c r="E286" s="302"/>
      <c r="F286" s="302"/>
      <c r="G286" s="302"/>
      <c r="H286" s="302"/>
      <c r="I286" s="302"/>
      <c r="J286" s="302"/>
      <c r="K286" s="302"/>
      <c r="L286" s="302"/>
      <c r="M286" s="302"/>
      <c r="N286" s="302"/>
    </row>
    <row r="287" spans="1:14" s="62" customFormat="1" ht="25.5">
      <c r="A287" s="316"/>
      <c r="B287" s="295">
        <v>80134</v>
      </c>
      <c r="C287" s="296"/>
      <c r="D287" s="306" t="s">
        <v>467</v>
      </c>
      <c r="E287" s="298">
        <f t="shared" si="45"/>
        <v>463640</v>
      </c>
      <c r="F287" s="298">
        <f t="shared" si="46"/>
        <v>463640</v>
      </c>
      <c r="G287" s="298">
        <f>SUM(G288:G293)</f>
        <v>355540</v>
      </c>
      <c r="H287" s="298">
        <f aca="true" t="shared" si="49" ref="H287:N287">SUM(H288:H293)</f>
        <v>24530</v>
      </c>
      <c r="I287" s="298">
        <f t="shared" si="49"/>
        <v>65980</v>
      </c>
      <c r="J287" s="298">
        <f t="shared" si="49"/>
        <v>0</v>
      </c>
      <c r="K287" s="298">
        <f t="shared" si="49"/>
        <v>0</v>
      </c>
      <c r="L287" s="298">
        <f t="shared" si="49"/>
        <v>0</v>
      </c>
      <c r="M287" s="298">
        <f t="shared" si="49"/>
        <v>17590</v>
      </c>
      <c r="N287" s="298">
        <f t="shared" si="49"/>
        <v>0</v>
      </c>
    </row>
    <row r="288" spans="1:14" s="39" customFormat="1" ht="25.5">
      <c r="A288" s="317"/>
      <c r="B288" s="290"/>
      <c r="C288" s="300">
        <v>3020</v>
      </c>
      <c r="D288" s="301" t="s">
        <v>607</v>
      </c>
      <c r="E288" s="302">
        <f t="shared" si="45"/>
        <v>1070</v>
      </c>
      <c r="F288" s="302">
        <f t="shared" si="46"/>
        <v>1070</v>
      </c>
      <c r="G288" s="302"/>
      <c r="H288" s="302"/>
      <c r="I288" s="302"/>
      <c r="J288" s="302"/>
      <c r="K288" s="302"/>
      <c r="L288" s="302"/>
      <c r="M288" s="302">
        <v>1070</v>
      </c>
      <c r="N288" s="302"/>
    </row>
    <row r="289" spans="1:14" s="39" customFormat="1" ht="25.5">
      <c r="A289" s="317"/>
      <c r="B289" s="290"/>
      <c r="C289" s="300">
        <v>4010</v>
      </c>
      <c r="D289" s="301" t="s">
        <v>374</v>
      </c>
      <c r="E289" s="302">
        <f t="shared" si="45"/>
        <v>355540</v>
      </c>
      <c r="F289" s="302">
        <f t="shared" si="46"/>
        <v>355540</v>
      </c>
      <c r="G289" s="302">
        <v>355540</v>
      </c>
      <c r="H289" s="302"/>
      <c r="I289" s="302"/>
      <c r="J289" s="302"/>
      <c r="K289" s="302"/>
      <c r="L289" s="302"/>
      <c r="M289" s="302"/>
      <c r="N289" s="302"/>
    </row>
    <row r="290" spans="1:14" s="39" customFormat="1" ht="39.75" customHeight="1">
      <c r="A290" s="317"/>
      <c r="B290" s="290"/>
      <c r="C290" s="300">
        <v>4040</v>
      </c>
      <c r="D290" s="301" t="s">
        <v>375</v>
      </c>
      <c r="E290" s="302">
        <f t="shared" si="45"/>
        <v>24530</v>
      </c>
      <c r="F290" s="302">
        <f t="shared" si="46"/>
        <v>24530</v>
      </c>
      <c r="G290" s="302"/>
      <c r="H290" s="302">
        <v>24530</v>
      </c>
      <c r="I290" s="302"/>
      <c r="J290" s="302"/>
      <c r="K290" s="302"/>
      <c r="L290" s="302"/>
      <c r="M290" s="302"/>
      <c r="N290" s="302"/>
    </row>
    <row r="291" spans="1:14" s="39" customFormat="1" ht="32.25" customHeight="1">
      <c r="A291" s="317"/>
      <c r="B291" s="290"/>
      <c r="C291" s="300">
        <v>4110</v>
      </c>
      <c r="D291" s="301" t="s">
        <v>453</v>
      </c>
      <c r="E291" s="302">
        <f t="shared" si="45"/>
        <v>56860</v>
      </c>
      <c r="F291" s="302">
        <f t="shared" si="46"/>
        <v>56860</v>
      </c>
      <c r="G291" s="302"/>
      <c r="H291" s="302"/>
      <c r="I291" s="302">
        <v>56860</v>
      </c>
      <c r="J291" s="302"/>
      <c r="K291" s="302"/>
      <c r="L291" s="302"/>
      <c r="M291" s="302"/>
      <c r="N291" s="302"/>
    </row>
    <row r="292" spans="1:14" s="39" customFormat="1" ht="22.5" customHeight="1">
      <c r="A292" s="317"/>
      <c r="B292" s="290"/>
      <c r="C292" s="300">
        <v>4120</v>
      </c>
      <c r="D292" s="301" t="s">
        <v>377</v>
      </c>
      <c r="E292" s="302">
        <f t="shared" si="45"/>
        <v>9120</v>
      </c>
      <c r="F292" s="302">
        <f t="shared" si="46"/>
        <v>9120</v>
      </c>
      <c r="G292" s="302"/>
      <c r="H292" s="302"/>
      <c r="I292" s="302">
        <v>9120</v>
      </c>
      <c r="J292" s="302"/>
      <c r="K292" s="302"/>
      <c r="L292" s="302"/>
      <c r="M292" s="302"/>
      <c r="N292" s="302"/>
    </row>
    <row r="293" spans="1:14" s="39" customFormat="1" ht="25.5">
      <c r="A293" s="317"/>
      <c r="B293" s="290"/>
      <c r="C293" s="300">
        <v>4440</v>
      </c>
      <c r="D293" s="301" t="s">
        <v>390</v>
      </c>
      <c r="E293" s="302">
        <f>F293+N293</f>
        <v>16520</v>
      </c>
      <c r="F293" s="302">
        <f>SUM(G293:M293)</f>
        <v>16520</v>
      </c>
      <c r="G293" s="302"/>
      <c r="H293" s="302"/>
      <c r="I293" s="302"/>
      <c r="J293" s="302"/>
      <c r="K293" s="302"/>
      <c r="L293" s="302"/>
      <c r="M293" s="302">
        <v>16520</v>
      </c>
      <c r="N293" s="302"/>
    </row>
    <row r="294" spans="1:14" s="62" customFormat="1" ht="25.5">
      <c r="A294" s="316"/>
      <c r="B294" s="295">
        <v>80146</v>
      </c>
      <c r="C294" s="296"/>
      <c r="D294" s="306" t="s">
        <v>468</v>
      </c>
      <c r="E294" s="298">
        <f aca="true" t="shared" si="50" ref="E294:E381">F294+N294</f>
        <v>69060</v>
      </c>
      <c r="F294" s="298">
        <f aca="true" t="shared" si="51" ref="F294:F381">SUM(G294:M294)</f>
        <v>69060</v>
      </c>
      <c r="G294" s="298">
        <f aca="true" t="shared" si="52" ref="G294:N294">SUM(G295:G298)</f>
        <v>0</v>
      </c>
      <c r="H294" s="298">
        <f t="shared" si="52"/>
        <v>0</v>
      </c>
      <c r="I294" s="298">
        <f t="shared" si="52"/>
        <v>0</v>
      </c>
      <c r="J294" s="298">
        <f t="shared" si="52"/>
        <v>10000</v>
      </c>
      <c r="K294" s="298">
        <f t="shared" si="52"/>
        <v>0</v>
      </c>
      <c r="L294" s="298">
        <f t="shared" si="52"/>
        <v>0</v>
      </c>
      <c r="M294" s="298">
        <f t="shared" si="52"/>
        <v>59060</v>
      </c>
      <c r="N294" s="298">
        <f t="shared" si="52"/>
        <v>0</v>
      </c>
    </row>
    <row r="295" spans="1:14" s="39" customFormat="1" ht="110.25" customHeight="1">
      <c r="A295" s="317"/>
      <c r="B295" s="290"/>
      <c r="C295" s="300">
        <v>2310</v>
      </c>
      <c r="D295" s="301" t="s">
        <v>472</v>
      </c>
      <c r="E295" s="302">
        <f t="shared" si="50"/>
        <v>10000</v>
      </c>
      <c r="F295" s="302">
        <f t="shared" si="51"/>
        <v>10000</v>
      </c>
      <c r="G295" s="302"/>
      <c r="H295" s="302"/>
      <c r="I295" s="302"/>
      <c r="J295" s="302">
        <v>10000</v>
      </c>
      <c r="K295" s="302"/>
      <c r="L295" s="302"/>
      <c r="M295" s="302" t="s">
        <v>199</v>
      </c>
      <c r="N295" s="302"/>
    </row>
    <row r="296" spans="1:14" s="39" customFormat="1" ht="12.75" hidden="1">
      <c r="A296" s="317"/>
      <c r="B296" s="290"/>
      <c r="C296" s="300">
        <v>4170</v>
      </c>
      <c r="D296" s="301" t="s">
        <v>437</v>
      </c>
      <c r="E296" s="302">
        <f t="shared" si="50"/>
        <v>0</v>
      </c>
      <c r="F296" s="302">
        <f t="shared" si="51"/>
        <v>0</v>
      </c>
      <c r="G296" s="302"/>
      <c r="H296" s="302"/>
      <c r="I296" s="302"/>
      <c r="J296" s="302"/>
      <c r="K296" s="302"/>
      <c r="L296" s="302"/>
      <c r="M296" s="302"/>
      <c r="N296" s="302"/>
    </row>
    <row r="297" spans="1:14" s="39" customFormat="1" ht="12.75">
      <c r="A297" s="317"/>
      <c r="B297" s="290"/>
      <c r="C297" s="300">
        <v>4300</v>
      </c>
      <c r="D297" s="301" t="s">
        <v>424</v>
      </c>
      <c r="E297" s="302">
        <f t="shared" si="50"/>
        <v>49000</v>
      </c>
      <c r="F297" s="302">
        <f t="shared" si="51"/>
        <v>49000</v>
      </c>
      <c r="G297" s="302"/>
      <c r="H297" s="302"/>
      <c r="I297" s="302"/>
      <c r="J297" s="302"/>
      <c r="K297" s="302"/>
      <c r="L297" s="302"/>
      <c r="M297" s="302">
        <v>49000</v>
      </c>
      <c r="N297" s="302"/>
    </row>
    <row r="298" spans="1:14" s="39" customFormat="1" ht="12.75">
      <c r="A298" s="317"/>
      <c r="B298" s="290"/>
      <c r="C298" s="300">
        <v>4410</v>
      </c>
      <c r="D298" s="301" t="s">
        <v>388</v>
      </c>
      <c r="E298" s="302">
        <f t="shared" si="50"/>
        <v>10060</v>
      </c>
      <c r="F298" s="302">
        <f t="shared" si="51"/>
        <v>10060</v>
      </c>
      <c r="G298" s="302"/>
      <c r="H298" s="302"/>
      <c r="I298" s="302"/>
      <c r="J298" s="302"/>
      <c r="K298" s="302"/>
      <c r="L298" s="302"/>
      <c r="M298" s="302">
        <v>10060</v>
      </c>
      <c r="N298" s="302"/>
    </row>
    <row r="299" spans="1:14" s="39" customFormat="1" ht="12.75">
      <c r="A299" s="317"/>
      <c r="B299" s="295">
        <v>80148</v>
      </c>
      <c r="C299" s="300"/>
      <c r="D299" s="306" t="s">
        <v>470</v>
      </c>
      <c r="E299" s="298">
        <f aca="true" t="shared" si="53" ref="E299:E307">F299+N299</f>
        <v>369030</v>
      </c>
      <c r="F299" s="298">
        <f aca="true" t="shared" si="54" ref="F299:F311">SUM(G299:M299)</f>
        <v>369030</v>
      </c>
      <c r="G299" s="298">
        <f aca="true" t="shared" si="55" ref="G299:N299">SUM(G300:G311)</f>
        <v>205170</v>
      </c>
      <c r="H299" s="298">
        <f t="shared" si="55"/>
        <v>16600</v>
      </c>
      <c r="I299" s="298">
        <f t="shared" si="55"/>
        <v>38310</v>
      </c>
      <c r="J299" s="298">
        <f t="shared" si="55"/>
        <v>0</v>
      </c>
      <c r="K299" s="298">
        <f t="shared" si="55"/>
        <v>0</v>
      </c>
      <c r="L299" s="298">
        <f t="shared" si="55"/>
        <v>0</v>
      </c>
      <c r="M299" s="298">
        <f t="shared" si="55"/>
        <v>108950</v>
      </c>
      <c r="N299" s="298">
        <f t="shared" si="55"/>
        <v>0</v>
      </c>
    </row>
    <row r="300" spans="1:14" s="39" customFormat="1" ht="25.5">
      <c r="A300" s="317"/>
      <c r="B300" s="290"/>
      <c r="C300" s="300">
        <v>3020</v>
      </c>
      <c r="D300" s="301" t="s">
        <v>607</v>
      </c>
      <c r="E300" s="302">
        <f t="shared" si="53"/>
        <v>4650</v>
      </c>
      <c r="F300" s="302">
        <f t="shared" si="54"/>
        <v>4650</v>
      </c>
      <c r="G300" s="302"/>
      <c r="H300" s="302"/>
      <c r="I300" s="302"/>
      <c r="J300" s="302"/>
      <c r="K300" s="302"/>
      <c r="L300" s="302"/>
      <c r="M300" s="302">
        <v>4650</v>
      </c>
      <c r="N300" s="302"/>
    </row>
    <row r="301" spans="1:14" s="39" customFormat="1" ht="34.5" customHeight="1">
      <c r="A301" s="317"/>
      <c r="B301" s="290"/>
      <c r="C301" s="300">
        <v>4010</v>
      </c>
      <c r="D301" s="301" t="s">
        <v>374</v>
      </c>
      <c r="E301" s="302">
        <f t="shared" si="53"/>
        <v>205170</v>
      </c>
      <c r="F301" s="302">
        <f t="shared" si="54"/>
        <v>205170</v>
      </c>
      <c r="G301" s="302">
        <v>205170</v>
      </c>
      <c r="H301" s="302"/>
      <c r="I301" s="302"/>
      <c r="J301" s="302"/>
      <c r="K301" s="302"/>
      <c r="L301" s="302"/>
      <c r="M301" s="302"/>
      <c r="N301" s="302"/>
    </row>
    <row r="302" spans="1:14" s="39" customFormat="1" ht="31.5" customHeight="1">
      <c r="A302" s="317"/>
      <c r="B302" s="290"/>
      <c r="C302" s="300">
        <v>4040</v>
      </c>
      <c r="D302" s="301" t="s">
        <v>375</v>
      </c>
      <c r="E302" s="302">
        <f t="shared" si="53"/>
        <v>16600</v>
      </c>
      <c r="F302" s="302">
        <f t="shared" si="54"/>
        <v>16600</v>
      </c>
      <c r="G302" s="302"/>
      <c r="H302" s="302">
        <v>16600</v>
      </c>
      <c r="I302" s="302"/>
      <c r="J302" s="302"/>
      <c r="K302" s="302"/>
      <c r="L302" s="302"/>
      <c r="M302" s="302"/>
      <c r="N302" s="302"/>
    </row>
    <row r="303" spans="1:14" s="39" customFormat="1" ht="35.25" customHeight="1">
      <c r="A303" s="317"/>
      <c r="B303" s="290"/>
      <c r="C303" s="300">
        <v>4110</v>
      </c>
      <c r="D303" s="301" t="s">
        <v>453</v>
      </c>
      <c r="E303" s="302">
        <f t="shared" si="53"/>
        <v>32990</v>
      </c>
      <c r="F303" s="302">
        <f t="shared" si="54"/>
        <v>32990</v>
      </c>
      <c r="G303" s="302"/>
      <c r="H303" s="302"/>
      <c r="I303" s="302">
        <v>32990</v>
      </c>
      <c r="J303" s="302"/>
      <c r="K303" s="302"/>
      <c r="L303" s="302"/>
      <c r="M303" s="302"/>
      <c r="N303" s="302"/>
    </row>
    <row r="304" spans="1:14" s="39" customFormat="1" ht="12.75">
      <c r="A304" s="317"/>
      <c r="B304" s="290"/>
      <c r="C304" s="300">
        <v>4120</v>
      </c>
      <c r="D304" s="301" t="s">
        <v>377</v>
      </c>
      <c r="E304" s="302">
        <f t="shared" si="53"/>
        <v>5320</v>
      </c>
      <c r="F304" s="302">
        <f t="shared" si="54"/>
        <v>5320</v>
      </c>
      <c r="G304" s="302"/>
      <c r="H304" s="302"/>
      <c r="I304" s="302">
        <v>5320</v>
      </c>
      <c r="J304" s="302"/>
      <c r="K304" s="302"/>
      <c r="L304" s="302"/>
      <c r="M304" s="302"/>
      <c r="N304" s="302"/>
    </row>
    <row r="305" spans="1:14" s="39" customFormat="1" ht="38.25" customHeight="1">
      <c r="A305" s="317"/>
      <c r="B305" s="290"/>
      <c r="C305" s="300">
        <v>4210</v>
      </c>
      <c r="D305" s="301" t="s">
        <v>379</v>
      </c>
      <c r="E305" s="302">
        <f t="shared" si="53"/>
        <v>73690</v>
      </c>
      <c r="F305" s="302">
        <f t="shared" si="54"/>
        <v>73690</v>
      </c>
      <c r="G305" s="302"/>
      <c r="H305" s="302"/>
      <c r="I305" s="302"/>
      <c r="J305" s="302"/>
      <c r="K305" s="302"/>
      <c r="L305" s="302"/>
      <c r="M305" s="302">
        <v>73690</v>
      </c>
      <c r="N305" s="302"/>
    </row>
    <row r="306" spans="1:14" s="39" customFormat="1" ht="12.75">
      <c r="A306" s="317"/>
      <c r="B306" s="290"/>
      <c r="C306" s="300">
        <v>4260</v>
      </c>
      <c r="D306" s="301" t="s">
        <v>380</v>
      </c>
      <c r="E306" s="302">
        <f t="shared" si="53"/>
        <v>17490</v>
      </c>
      <c r="F306" s="302">
        <f t="shared" si="54"/>
        <v>17490</v>
      </c>
      <c r="G306" s="302"/>
      <c r="H306" s="302"/>
      <c r="I306" s="302"/>
      <c r="J306" s="302"/>
      <c r="K306" s="302"/>
      <c r="L306" s="302"/>
      <c r="M306" s="302">
        <v>17490</v>
      </c>
      <c r="N306" s="302"/>
    </row>
    <row r="307" spans="1:14" s="39" customFormat="1" ht="12.75">
      <c r="A307" s="317"/>
      <c r="B307" s="290"/>
      <c r="C307" s="300">
        <v>4270</v>
      </c>
      <c r="D307" s="301" t="s">
        <v>381</v>
      </c>
      <c r="E307" s="302">
        <f t="shared" si="53"/>
        <v>590</v>
      </c>
      <c r="F307" s="302">
        <f t="shared" si="54"/>
        <v>590</v>
      </c>
      <c r="G307" s="302"/>
      <c r="H307" s="302"/>
      <c r="I307" s="302"/>
      <c r="J307" s="302"/>
      <c r="K307" s="302"/>
      <c r="L307" s="302"/>
      <c r="M307" s="302">
        <v>590</v>
      </c>
      <c r="N307" s="302"/>
    </row>
    <row r="308" spans="1:14" s="39" customFormat="1" ht="12.75">
      <c r="A308" s="317"/>
      <c r="B308" s="290"/>
      <c r="C308" s="300">
        <v>4280</v>
      </c>
      <c r="D308" s="301" t="s">
        <v>382</v>
      </c>
      <c r="E308" s="302">
        <f>N308+F308</f>
        <v>270</v>
      </c>
      <c r="F308" s="302">
        <f t="shared" si="54"/>
        <v>270</v>
      </c>
      <c r="G308" s="302"/>
      <c r="H308" s="302"/>
      <c r="I308" s="302"/>
      <c r="J308" s="302"/>
      <c r="K308" s="302"/>
      <c r="L308" s="302"/>
      <c r="M308" s="302">
        <v>270</v>
      </c>
      <c r="N308" s="302"/>
    </row>
    <row r="309" spans="1:14" s="39" customFormat="1" ht="12.75">
      <c r="A309" s="317"/>
      <c r="B309" s="290"/>
      <c r="C309" s="300">
        <v>4300</v>
      </c>
      <c r="D309" s="301" t="s">
        <v>424</v>
      </c>
      <c r="E309" s="302">
        <f>F309+N309</f>
        <v>3090</v>
      </c>
      <c r="F309" s="302">
        <f>SUM(G309:M309)</f>
        <v>3090</v>
      </c>
      <c r="G309" s="302"/>
      <c r="H309" s="302"/>
      <c r="I309" s="302"/>
      <c r="J309" s="302"/>
      <c r="K309" s="302"/>
      <c r="L309" s="302"/>
      <c r="M309" s="302">
        <v>3090</v>
      </c>
      <c r="N309" s="302"/>
    </row>
    <row r="310" spans="1:14" s="39" customFormat="1" ht="25.5">
      <c r="A310" s="317"/>
      <c r="B310" s="290"/>
      <c r="C310" s="300">
        <v>4440</v>
      </c>
      <c r="D310" s="301" t="s">
        <v>390</v>
      </c>
      <c r="E310" s="302">
        <f>N310+F310</f>
        <v>9170</v>
      </c>
      <c r="F310" s="302">
        <f>SUM(G310:M310)</f>
        <v>9170</v>
      </c>
      <c r="G310" s="302"/>
      <c r="H310" s="302"/>
      <c r="I310" s="302"/>
      <c r="J310" s="302"/>
      <c r="K310" s="302"/>
      <c r="L310" s="302"/>
      <c r="M310" s="302">
        <v>9170</v>
      </c>
      <c r="N310" s="302"/>
    </row>
    <row r="311" spans="1:14" s="39" customFormat="1" ht="38.25" hidden="1">
      <c r="A311" s="317"/>
      <c r="B311" s="290"/>
      <c r="C311" s="300">
        <v>6060</v>
      </c>
      <c r="D311" s="301" t="s">
        <v>608</v>
      </c>
      <c r="E311" s="302">
        <f>N311+F311</f>
        <v>0</v>
      </c>
      <c r="F311" s="302">
        <f t="shared" si="54"/>
        <v>0</v>
      </c>
      <c r="G311" s="302"/>
      <c r="H311" s="302"/>
      <c r="I311" s="302"/>
      <c r="J311" s="302"/>
      <c r="K311" s="302"/>
      <c r="L311" s="302"/>
      <c r="M311" s="302"/>
      <c r="N311" s="302"/>
    </row>
    <row r="312" spans="1:14" s="62" customFormat="1" ht="12.75">
      <c r="A312" s="316"/>
      <c r="B312" s="295">
        <v>80195</v>
      </c>
      <c r="C312" s="296"/>
      <c r="D312" s="306" t="s">
        <v>443</v>
      </c>
      <c r="E312" s="298">
        <f t="shared" si="50"/>
        <v>421925</v>
      </c>
      <c r="F312" s="298">
        <f t="shared" si="51"/>
        <v>421925</v>
      </c>
      <c r="G312" s="298">
        <f>SUM(G313:G358)</f>
        <v>231840</v>
      </c>
      <c r="H312" s="298">
        <f aca="true" t="shared" si="56" ref="H312:N312">SUM(H313:H358)</f>
        <v>14099</v>
      </c>
      <c r="I312" s="298">
        <f t="shared" si="56"/>
        <v>40100</v>
      </c>
      <c r="J312" s="298">
        <f t="shared" si="56"/>
        <v>0</v>
      </c>
      <c r="K312" s="298">
        <f t="shared" si="56"/>
        <v>0</v>
      </c>
      <c r="L312" s="298">
        <f>SUM(L313:L358)</f>
        <v>0</v>
      </c>
      <c r="M312" s="298">
        <f t="shared" si="56"/>
        <v>135886</v>
      </c>
      <c r="N312" s="298">
        <f t="shared" si="56"/>
        <v>0</v>
      </c>
    </row>
    <row r="313" spans="1:14" s="39" customFormat="1" ht="25.5">
      <c r="A313" s="317"/>
      <c r="B313" s="290"/>
      <c r="C313" s="300">
        <v>3020</v>
      </c>
      <c r="D313" s="301" t="s">
        <v>607</v>
      </c>
      <c r="E313" s="302">
        <f t="shared" si="50"/>
        <v>1690</v>
      </c>
      <c r="F313" s="302">
        <f t="shared" si="51"/>
        <v>1690</v>
      </c>
      <c r="G313" s="302"/>
      <c r="H313" s="302"/>
      <c r="I313" s="302"/>
      <c r="J313" s="302"/>
      <c r="K313" s="302"/>
      <c r="L313" s="302"/>
      <c r="M313" s="302">
        <v>1690</v>
      </c>
      <c r="N313" s="302"/>
    </row>
    <row r="314" spans="1:14" s="39" customFormat="1" ht="25.5">
      <c r="A314" s="317"/>
      <c r="B314" s="290"/>
      <c r="C314" s="300">
        <v>4010</v>
      </c>
      <c r="D314" s="301" t="s">
        <v>374</v>
      </c>
      <c r="E314" s="302">
        <f t="shared" si="50"/>
        <v>231840</v>
      </c>
      <c r="F314" s="302">
        <f t="shared" si="51"/>
        <v>231840</v>
      </c>
      <c r="G314" s="302">
        <v>231840</v>
      </c>
      <c r="H314" s="302"/>
      <c r="I314" s="302"/>
      <c r="J314" s="302"/>
      <c r="K314" s="302"/>
      <c r="L314" s="302"/>
      <c r="M314" s="302"/>
      <c r="N314" s="302"/>
    </row>
    <row r="315" spans="1:14" s="39" customFormat="1" ht="34.5" customHeight="1">
      <c r="A315" s="317"/>
      <c r="B315" s="290"/>
      <c r="C315" s="300">
        <v>4040</v>
      </c>
      <c r="D315" s="301" t="s">
        <v>375</v>
      </c>
      <c r="E315" s="302">
        <f t="shared" si="50"/>
        <v>14099</v>
      </c>
      <c r="F315" s="302">
        <f t="shared" si="51"/>
        <v>14099</v>
      </c>
      <c r="G315" s="302"/>
      <c r="H315" s="302">
        <v>14099</v>
      </c>
      <c r="I315" s="302"/>
      <c r="J315" s="302"/>
      <c r="K315" s="302"/>
      <c r="L315" s="302"/>
      <c r="M315" s="302"/>
      <c r="N315" s="302"/>
    </row>
    <row r="316" spans="1:14" s="39" customFormat="1" ht="30.75" customHeight="1">
      <c r="A316" s="317"/>
      <c r="B316" s="290"/>
      <c r="C316" s="300">
        <v>4110</v>
      </c>
      <c r="D316" s="301" t="s">
        <v>453</v>
      </c>
      <c r="E316" s="302">
        <f t="shared" si="50"/>
        <v>34590</v>
      </c>
      <c r="F316" s="302">
        <f t="shared" si="51"/>
        <v>34590</v>
      </c>
      <c r="G316" s="302"/>
      <c r="H316" s="302"/>
      <c r="I316" s="302">
        <v>34590</v>
      </c>
      <c r="J316" s="302"/>
      <c r="K316" s="302"/>
      <c r="L316" s="302"/>
      <c r="M316" s="302"/>
      <c r="N316" s="302"/>
    </row>
    <row r="317" spans="1:14" s="39" customFormat="1" ht="12.75">
      <c r="A317" s="317"/>
      <c r="B317" s="290"/>
      <c r="C317" s="300">
        <v>4120</v>
      </c>
      <c r="D317" s="301" t="s">
        <v>377</v>
      </c>
      <c r="E317" s="302">
        <f t="shared" si="50"/>
        <v>5510</v>
      </c>
      <c r="F317" s="302">
        <f t="shared" si="51"/>
        <v>5510</v>
      </c>
      <c r="G317" s="302"/>
      <c r="H317" s="302"/>
      <c r="I317" s="302">
        <v>5510</v>
      </c>
      <c r="J317" s="302"/>
      <c r="K317" s="302"/>
      <c r="L317" s="302"/>
      <c r="M317" s="302"/>
      <c r="N317" s="302"/>
    </row>
    <row r="318" spans="1:14" s="39" customFormat="1" ht="30" customHeight="1">
      <c r="A318" s="317"/>
      <c r="B318" s="290"/>
      <c r="C318" s="300">
        <v>4170</v>
      </c>
      <c r="D318" s="301" t="s">
        <v>413</v>
      </c>
      <c r="E318" s="302">
        <f t="shared" si="50"/>
        <v>6200</v>
      </c>
      <c r="F318" s="302">
        <f t="shared" si="51"/>
        <v>6200</v>
      </c>
      <c r="G318" s="302"/>
      <c r="H318" s="302"/>
      <c r="I318" s="302"/>
      <c r="J318" s="302"/>
      <c r="K318" s="302"/>
      <c r="L318" s="302"/>
      <c r="M318" s="302">
        <v>6200</v>
      </c>
      <c r="N318" s="302"/>
    </row>
    <row r="319" spans="1:14" s="39" customFormat="1" ht="25.5">
      <c r="A319" s="317"/>
      <c r="B319" s="290"/>
      <c r="C319" s="300">
        <v>4210</v>
      </c>
      <c r="D319" s="301" t="s">
        <v>379</v>
      </c>
      <c r="E319" s="302">
        <f t="shared" si="50"/>
        <v>17980</v>
      </c>
      <c r="F319" s="302">
        <f t="shared" si="51"/>
        <v>17980</v>
      </c>
      <c r="G319" s="302"/>
      <c r="H319" s="302"/>
      <c r="I319" s="302"/>
      <c r="J319" s="302"/>
      <c r="K319" s="302"/>
      <c r="L319" s="302"/>
      <c r="M319" s="302">
        <v>17980</v>
      </c>
      <c r="N319" s="302"/>
    </row>
    <row r="320" spans="1:14" s="39" customFormat="1" ht="12.75">
      <c r="A320" s="317"/>
      <c r="B320" s="290"/>
      <c r="C320" s="300">
        <v>4260</v>
      </c>
      <c r="D320" s="301" t="s">
        <v>380</v>
      </c>
      <c r="E320" s="302">
        <f t="shared" si="50"/>
        <v>6436</v>
      </c>
      <c r="F320" s="302">
        <f t="shared" si="51"/>
        <v>6436</v>
      </c>
      <c r="G320" s="302"/>
      <c r="H320" s="302"/>
      <c r="I320" s="302"/>
      <c r="J320" s="302"/>
      <c r="K320" s="302"/>
      <c r="L320" s="302"/>
      <c r="M320" s="302">
        <v>6436</v>
      </c>
      <c r="N320" s="302"/>
    </row>
    <row r="321" spans="1:14" s="39" customFormat="1" ht="12.75">
      <c r="A321" s="317"/>
      <c r="B321" s="290"/>
      <c r="C321" s="300">
        <v>4270</v>
      </c>
      <c r="D321" s="301" t="s">
        <v>397</v>
      </c>
      <c r="E321" s="302">
        <f t="shared" si="50"/>
        <v>660</v>
      </c>
      <c r="F321" s="302">
        <f t="shared" si="51"/>
        <v>660</v>
      </c>
      <c r="G321" s="302"/>
      <c r="H321" s="302"/>
      <c r="I321" s="302"/>
      <c r="J321" s="302"/>
      <c r="K321" s="302"/>
      <c r="L321" s="302"/>
      <c r="M321" s="302">
        <v>660</v>
      </c>
      <c r="N321" s="302"/>
    </row>
    <row r="322" spans="1:14" s="39" customFormat="1" ht="12.75">
      <c r="A322" s="317"/>
      <c r="B322" s="290"/>
      <c r="C322" s="300">
        <v>4280</v>
      </c>
      <c r="D322" s="301" t="s">
        <v>382</v>
      </c>
      <c r="E322" s="302">
        <f t="shared" si="50"/>
        <v>170</v>
      </c>
      <c r="F322" s="302">
        <f t="shared" si="51"/>
        <v>170</v>
      </c>
      <c r="G322" s="302"/>
      <c r="H322" s="302"/>
      <c r="I322" s="302"/>
      <c r="J322" s="302"/>
      <c r="K322" s="302"/>
      <c r="L322" s="302"/>
      <c r="M322" s="302">
        <v>170</v>
      </c>
      <c r="N322" s="302"/>
    </row>
    <row r="323" spans="1:14" s="39" customFormat="1" ht="12.75">
      <c r="A323" s="317"/>
      <c r="B323" s="290"/>
      <c r="C323" s="300">
        <v>4300</v>
      </c>
      <c r="D323" s="301" t="s">
        <v>473</v>
      </c>
      <c r="E323" s="302">
        <f t="shared" si="50"/>
        <v>12220</v>
      </c>
      <c r="F323" s="302">
        <f t="shared" si="51"/>
        <v>12220</v>
      </c>
      <c r="G323" s="302"/>
      <c r="H323" s="302"/>
      <c r="I323" s="302"/>
      <c r="J323" s="302"/>
      <c r="K323" s="302"/>
      <c r="L323" s="302"/>
      <c r="M323" s="302">
        <v>12220</v>
      </c>
      <c r="N323" s="302"/>
    </row>
    <row r="324" spans="1:14" s="39" customFormat="1" ht="25.5">
      <c r="A324" s="317"/>
      <c r="B324" s="290"/>
      <c r="C324" s="300">
        <v>4350</v>
      </c>
      <c r="D324" s="301" t="s">
        <v>383</v>
      </c>
      <c r="E324" s="302">
        <f t="shared" si="50"/>
        <v>2090</v>
      </c>
      <c r="F324" s="302">
        <f t="shared" si="51"/>
        <v>2090</v>
      </c>
      <c r="G324" s="302"/>
      <c r="H324" s="302"/>
      <c r="I324" s="302"/>
      <c r="J324" s="302"/>
      <c r="K324" s="302"/>
      <c r="L324" s="302"/>
      <c r="M324" s="302">
        <v>2090</v>
      </c>
      <c r="N324" s="302"/>
    </row>
    <row r="325" spans="1:14" s="39" customFormat="1" ht="38.25">
      <c r="A325" s="317"/>
      <c r="B325" s="290"/>
      <c r="C325" s="300">
        <v>4370</v>
      </c>
      <c r="D325" s="301" t="s">
        <v>457</v>
      </c>
      <c r="E325" s="302">
        <f t="shared" si="50"/>
        <v>6430</v>
      </c>
      <c r="F325" s="302">
        <f t="shared" si="51"/>
        <v>6430</v>
      </c>
      <c r="G325" s="302"/>
      <c r="H325" s="302"/>
      <c r="I325" s="302"/>
      <c r="J325" s="302"/>
      <c r="K325" s="302"/>
      <c r="L325" s="302"/>
      <c r="M325" s="302">
        <v>6430</v>
      </c>
      <c r="N325" s="302"/>
    </row>
    <row r="326" spans="1:14" s="39" customFormat="1" ht="12.75">
      <c r="A326" s="317"/>
      <c r="B326" s="290"/>
      <c r="C326" s="300">
        <v>4410</v>
      </c>
      <c r="D326" s="301" t="s">
        <v>388</v>
      </c>
      <c r="E326" s="302">
        <f t="shared" si="50"/>
        <v>1130</v>
      </c>
      <c r="F326" s="302">
        <f t="shared" si="51"/>
        <v>1130</v>
      </c>
      <c r="G326" s="302"/>
      <c r="H326" s="302"/>
      <c r="I326" s="302"/>
      <c r="J326" s="302"/>
      <c r="K326" s="302"/>
      <c r="L326" s="302"/>
      <c r="M326" s="302">
        <v>1130</v>
      </c>
      <c r="N326" s="302"/>
    </row>
    <row r="327" spans="1:14" s="39" customFormat="1" ht="12.75">
      <c r="A327" s="317"/>
      <c r="B327" s="290"/>
      <c r="C327" s="300">
        <v>4430</v>
      </c>
      <c r="D327" s="301" t="s">
        <v>389</v>
      </c>
      <c r="E327" s="302">
        <f t="shared" si="50"/>
        <v>220</v>
      </c>
      <c r="F327" s="302">
        <f t="shared" si="51"/>
        <v>220</v>
      </c>
      <c r="G327" s="302"/>
      <c r="H327" s="302"/>
      <c r="I327" s="302"/>
      <c r="J327" s="302"/>
      <c r="K327" s="302"/>
      <c r="L327" s="302"/>
      <c r="M327" s="302">
        <v>220</v>
      </c>
      <c r="N327" s="302"/>
    </row>
    <row r="328" spans="1:14" s="39" customFormat="1" ht="46.5" customHeight="1">
      <c r="A328" s="317"/>
      <c r="B328" s="290"/>
      <c r="C328" s="300">
        <v>4440</v>
      </c>
      <c r="D328" s="301" t="s">
        <v>390</v>
      </c>
      <c r="E328" s="302">
        <f t="shared" si="50"/>
        <v>71160</v>
      </c>
      <c r="F328" s="302">
        <f t="shared" si="51"/>
        <v>71160</v>
      </c>
      <c r="G328" s="302"/>
      <c r="H328" s="302"/>
      <c r="I328" s="302"/>
      <c r="J328" s="302"/>
      <c r="K328" s="302"/>
      <c r="L328" s="302"/>
      <c r="M328" s="302">
        <v>71160</v>
      </c>
      <c r="N328" s="302"/>
    </row>
    <row r="329" spans="1:14" s="39" customFormat="1" ht="25.5">
      <c r="A329" s="317"/>
      <c r="B329" s="290"/>
      <c r="C329" s="300">
        <v>4510</v>
      </c>
      <c r="D329" s="301" t="s">
        <v>643</v>
      </c>
      <c r="E329" s="302">
        <f t="shared" si="50"/>
        <v>160</v>
      </c>
      <c r="F329" s="302">
        <f t="shared" si="51"/>
        <v>160</v>
      </c>
      <c r="G329" s="302"/>
      <c r="H329" s="302"/>
      <c r="I329" s="302"/>
      <c r="J329" s="302"/>
      <c r="K329" s="302"/>
      <c r="L329" s="302"/>
      <c r="M329" s="302">
        <v>160</v>
      </c>
      <c r="N329" s="302"/>
    </row>
    <row r="330" spans="1:14" s="39" customFormat="1" ht="38.25">
      <c r="A330" s="317"/>
      <c r="B330" s="290"/>
      <c r="C330" s="300">
        <v>4700</v>
      </c>
      <c r="D330" s="301" t="s">
        <v>606</v>
      </c>
      <c r="E330" s="302">
        <f t="shared" si="50"/>
        <v>2060</v>
      </c>
      <c r="F330" s="302">
        <f t="shared" si="51"/>
        <v>2060</v>
      </c>
      <c r="G330" s="302"/>
      <c r="H330" s="302"/>
      <c r="I330" s="302"/>
      <c r="J330" s="302"/>
      <c r="K330" s="302"/>
      <c r="L330" s="302"/>
      <c r="M330" s="302">
        <v>2060</v>
      </c>
      <c r="N330" s="302"/>
    </row>
    <row r="331" spans="1:14" s="39" customFormat="1" ht="63" customHeight="1">
      <c r="A331" s="317"/>
      <c r="B331" s="290"/>
      <c r="C331" s="300">
        <v>4740</v>
      </c>
      <c r="D331" s="301" t="s">
        <v>416</v>
      </c>
      <c r="E331" s="302">
        <f t="shared" si="50"/>
        <v>1080</v>
      </c>
      <c r="F331" s="302">
        <f t="shared" si="51"/>
        <v>1080</v>
      </c>
      <c r="G331" s="302"/>
      <c r="H331" s="302"/>
      <c r="I331" s="302"/>
      <c r="J331" s="302"/>
      <c r="K331" s="302"/>
      <c r="L331" s="302"/>
      <c r="M331" s="302">
        <v>1080</v>
      </c>
      <c r="N331" s="302"/>
    </row>
    <row r="332" spans="1:14" s="39" customFormat="1" ht="38.25">
      <c r="A332" s="317"/>
      <c r="B332" s="290"/>
      <c r="C332" s="300">
        <v>4750</v>
      </c>
      <c r="D332" s="301" t="s">
        <v>458</v>
      </c>
      <c r="E332" s="302">
        <f>F332+N332</f>
        <v>6200</v>
      </c>
      <c r="F332" s="302">
        <f>SUM(G332:M332)</f>
        <v>6200</v>
      </c>
      <c r="G332" s="302"/>
      <c r="H332" s="302"/>
      <c r="I332" s="302"/>
      <c r="J332" s="302"/>
      <c r="K332" s="302"/>
      <c r="L332" s="302"/>
      <c r="M332" s="302">
        <v>6200</v>
      </c>
      <c r="N332" s="302"/>
    </row>
    <row r="333" spans="1:14" s="39" customFormat="1" ht="25.5" hidden="1">
      <c r="A333" s="317"/>
      <c r="B333" s="290"/>
      <c r="C333" s="300">
        <v>6050</v>
      </c>
      <c r="D333" s="301" t="s">
        <v>122</v>
      </c>
      <c r="E333" s="302">
        <f t="shared" si="50"/>
        <v>0</v>
      </c>
      <c r="F333" s="302">
        <f t="shared" si="51"/>
        <v>0</v>
      </c>
      <c r="G333" s="302"/>
      <c r="H333" s="302"/>
      <c r="I333" s="302"/>
      <c r="J333" s="302"/>
      <c r="K333" s="302"/>
      <c r="L333" s="302"/>
      <c r="M333" s="302"/>
      <c r="N333" s="302"/>
    </row>
    <row r="334" spans="1:14" s="39" customFormat="1" ht="38.25" hidden="1">
      <c r="A334" s="317"/>
      <c r="B334" s="290"/>
      <c r="C334" s="300">
        <v>6060</v>
      </c>
      <c r="D334" s="301" t="s">
        <v>608</v>
      </c>
      <c r="E334" s="302">
        <f t="shared" si="50"/>
        <v>0</v>
      </c>
      <c r="F334" s="302">
        <f t="shared" si="51"/>
        <v>0</v>
      </c>
      <c r="G334" s="302"/>
      <c r="H334" s="302"/>
      <c r="I334" s="302"/>
      <c r="J334" s="302"/>
      <c r="K334" s="302"/>
      <c r="L334" s="302"/>
      <c r="M334" s="302"/>
      <c r="N334" s="302"/>
    </row>
    <row r="335" spans="1:14" s="39" customFormat="1" ht="34.5" customHeight="1">
      <c r="A335" s="317"/>
      <c r="B335" s="290"/>
      <c r="C335" s="318">
        <v>4118</v>
      </c>
      <c r="D335" s="319" t="s">
        <v>453</v>
      </c>
      <c r="E335" s="302">
        <f t="shared" si="50"/>
        <v>0</v>
      </c>
      <c r="F335" s="302">
        <f t="shared" si="51"/>
        <v>0</v>
      </c>
      <c r="G335" s="302"/>
      <c r="H335" s="302"/>
      <c r="I335" s="320"/>
      <c r="J335" s="302"/>
      <c r="K335" s="302"/>
      <c r="L335" s="302"/>
      <c r="M335" s="302"/>
      <c r="N335" s="302"/>
    </row>
    <row r="336" spans="1:14" s="39" customFormat="1" ht="32.25" customHeight="1">
      <c r="A336" s="317"/>
      <c r="B336" s="290"/>
      <c r="C336" s="318">
        <v>4119</v>
      </c>
      <c r="D336" s="319" t="s">
        <v>453</v>
      </c>
      <c r="E336" s="302">
        <f t="shared" si="50"/>
        <v>0</v>
      </c>
      <c r="F336" s="302">
        <f t="shared" si="51"/>
        <v>0</v>
      </c>
      <c r="G336" s="302"/>
      <c r="H336" s="302"/>
      <c r="I336" s="320"/>
      <c r="J336" s="302"/>
      <c r="K336" s="302"/>
      <c r="L336" s="302"/>
      <c r="M336" s="302"/>
      <c r="N336" s="302"/>
    </row>
    <row r="337" spans="1:14" s="39" customFormat="1" ht="22.5" customHeight="1">
      <c r="A337" s="317"/>
      <c r="B337" s="290"/>
      <c r="C337" s="318">
        <v>4128</v>
      </c>
      <c r="D337" s="319" t="s">
        <v>377</v>
      </c>
      <c r="E337" s="302">
        <f t="shared" si="50"/>
        <v>0</v>
      </c>
      <c r="F337" s="302">
        <f t="shared" si="51"/>
        <v>0</v>
      </c>
      <c r="G337" s="302"/>
      <c r="H337" s="302"/>
      <c r="I337" s="115"/>
      <c r="J337" s="302"/>
      <c r="K337" s="302"/>
      <c r="L337" s="302"/>
      <c r="M337" s="302"/>
      <c r="N337" s="302"/>
    </row>
    <row r="338" spans="1:14" s="39" customFormat="1" ht="18.75" customHeight="1">
      <c r="A338" s="317"/>
      <c r="B338" s="290"/>
      <c r="C338" s="318">
        <v>4129</v>
      </c>
      <c r="D338" s="319" t="s">
        <v>377</v>
      </c>
      <c r="E338" s="302">
        <f t="shared" si="50"/>
        <v>0</v>
      </c>
      <c r="F338" s="302">
        <f t="shared" si="51"/>
        <v>0</v>
      </c>
      <c r="G338" s="302"/>
      <c r="H338" s="302"/>
      <c r="I338" s="115"/>
      <c r="J338" s="302"/>
      <c r="K338" s="302"/>
      <c r="L338" s="302"/>
      <c r="M338" s="302"/>
      <c r="N338" s="302"/>
    </row>
    <row r="339" spans="1:14" s="39" customFormat="1" ht="24.75" customHeight="1">
      <c r="A339" s="317"/>
      <c r="B339" s="290"/>
      <c r="C339" s="318">
        <v>4178</v>
      </c>
      <c r="D339" s="319" t="s">
        <v>413</v>
      </c>
      <c r="E339" s="302">
        <f t="shared" si="50"/>
        <v>0</v>
      </c>
      <c r="F339" s="302">
        <f t="shared" si="51"/>
        <v>0</v>
      </c>
      <c r="G339" s="302"/>
      <c r="H339" s="302"/>
      <c r="I339" s="320"/>
      <c r="J339" s="302"/>
      <c r="K339" s="302"/>
      <c r="L339" s="302"/>
      <c r="M339" s="302"/>
      <c r="N339" s="302"/>
    </row>
    <row r="340" spans="1:14" s="39" customFormat="1" ht="28.5" customHeight="1">
      <c r="A340" s="317"/>
      <c r="B340" s="290"/>
      <c r="C340" s="318">
        <v>4179</v>
      </c>
      <c r="D340" s="319" t="s">
        <v>413</v>
      </c>
      <c r="E340" s="302">
        <f t="shared" si="50"/>
        <v>0</v>
      </c>
      <c r="F340" s="302">
        <f t="shared" si="51"/>
        <v>0</v>
      </c>
      <c r="G340" s="302"/>
      <c r="H340" s="302"/>
      <c r="I340" s="320"/>
      <c r="J340" s="302"/>
      <c r="K340" s="302"/>
      <c r="L340" s="302"/>
      <c r="M340" s="302"/>
      <c r="N340" s="302"/>
    </row>
    <row r="341" spans="1:14" s="39" customFormat="1" ht="25.5">
      <c r="A341" s="317"/>
      <c r="B341" s="290"/>
      <c r="C341" s="318">
        <v>4218</v>
      </c>
      <c r="D341" s="319" t="s">
        <v>379</v>
      </c>
      <c r="E341" s="302">
        <f t="shared" si="50"/>
        <v>0</v>
      </c>
      <c r="F341" s="302">
        <f t="shared" si="51"/>
        <v>0</v>
      </c>
      <c r="G341" s="302"/>
      <c r="H341" s="302"/>
      <c r="I341" s="302"/>
      <c r="J341" s="302"/>
      <c r="K341" s="302"/>
      <c r="L341" s="302"/>
      <c r="M341" s="302"/>
      <c r="N341" s="302"/>
    </row>
    <row r="342" spans="1:14" s="39" customFormat="1" ht="25.5">
      <c r="A342" s="317"/>
      <c r="B342" s="290"/>
      <c r="C342" s="318">
        <v>4219</v>
      </c>
      <c r="D342" s="319" t="s">
        <v>379</v>
      </c>
      <c r="E342" s="302">
        <f t="shared" si="50"/>
        <v>0</v>
      </c>
      <c r="F342" s="302">
        <f t="shared" si="51"/>
        <v>0</v>
      </c>
      <c r="G342" s="302"/>
      <c r="H342" s="302"/>
      <c r="I342" s="302"/>
      <c r="J342" s="302"/>
      <c r="K342" s="302"/>
      <c r="L342" s="302"/>
      <c r="M342" s="302"/>
      <c r="N342" s="302"/>
    </row>
    <row r="343" spans="1:14" s="39" customFormat="1" ht="12.75">
      <c r="A343" s="317"/>
      <c r="B343" s="290"/>
      <c r="C343" s="318">
        <v>4268</v>
      </c>
      <c r="D343" s="319" t="s">
        <v>380</v>
      </c>
      <c r="E343" s="302">
        <f t="shared" si="50"/>
        <v>0</v>
      </c>
      <c r="F343" s="302">
        <f t="shared" si="51"/>
        <v>0</v>
      </c>
      <c r="G343" s="302"/>
      <c r="H343" s="302"/>
      <c r="I343" s="302"/>
      <c r="J343" s="302"/>
      <c r="K343" s="302"/>
      <c r="L343" s="302"/>
      <c r="M343" s="302"/>
      <c r="N343" s="302"/>
    </row>
    <row r="344" spans="1:14" s="39" customFormat="1" ht="12.75">
      <c r="A344" s="317"/>
      <c r="B344" s="290"/>
      <c r="C344" s="318">
        <v>4269</v>
      </c>
      <c r="D344" s="319" t="s">
        <v>380</v>
      </c>
      <c r="E344" s="302">
        <f t="shared" si="50"/>
        <v>0</v>
      </c>
      <c r="F344" s="302">
        <f t="shared" si="51"/>
        <v>0</v>
      </c>
      <c r="G344" s="302"/>
      <c r="H344" s="302"/>
      <c r="I344" s="302"/>
      <c r="J344" s="302"/>
      <c r="K344" s="302"/>
      <c r="L344" s="302"/>
      <c r="M344" s="302"/>
      <c r="N344" s="302"/>
    </row>
    <row r="345" spans="1:14" s="39" customFormat="1" ht="27" customHeight="1">
      <c r="A345" s="317"/>
      <c r="B345" s="290"/>
      <c r="C345" s="318">
        <v>4308</v>
      </c>
      <c r="D345" s="319" t="s">
        <v>473</v>
      </c>
      <c r="E345" s="302">
        <f t="shared" si="50"/>
        <v>0</v>
      </c>
      <c r="F345" s="302">
        <f t="shared" si="51"/>
        <v>0</v>
      </c>
      <c r="G345" s="302"/>
      <c r="H345" s="302"/>
      <c r="I345" s="302"/>
      <c r="J345" s="302"/>
      <c r="K345" s="302"/>
      <c r="L345" s="302"/>
      <c r="M345" s="302"/>
      <c r="N345" s="302"/>
    </row>
    <row r="346" spans="1:14" s="39" customFormat="1" ht="27.75" customHeight="1">
      <c r="A346" s="317"/>
      <c r="B346" s="290"/>
      <c r="C346" s="318">
        <v>4309</v>
      </c>
      <c r="D346" s="319" t="s">
        <v>473</v>
      </c>
      <c r="E346" s="302">
        <f t="shared" si="50"/>
        <v>0</v>
      </c>
      <c r="F346" s="302">
        <f t="shared" si="51"/>
        <v>0</v>
      </c>
      <c r="G346" s="302"/>
      <c r="H346" s="302"/>
      <c r="I346" s="302"/>
      <c r="J346" s="302"/>
      <c r="K346" s="302"/>
      <c r="L346" s="302"/>
      <c r="M346" s="302"/>
      <c r="N346" s="302"/>
    </row>
    <row r="347" spans="1:14" s="39" customFormat="1" ht="33.75" customHeight="1">
      <c r="A347" s="317"/>
      <c r="B347" s="290"/>
      <c r="C347" s="300">
        <v>4358</v>
      </c>
      <c r="D347" s="301" t="s">
        <v>383</v>
      </c>
      <c r="E347" s="302">
        <f t="shared" si="50"/>
        <v>0</v>
      </c>
      <c r="F347" s="302">
        <f t="shared" si="51"/>
        <v>0</v>
      </c>
      <c r="G347" s="302"/>
      <c r="H347" s="302"/>
      <c r="I347" s="302"/>
      <c r="J347" s="302"/>
      <c r="K347" s="302"/>
      <c r="L347" s="302"/>
      <c r="M347" s="302"/>
      <c r="N347" s="302"/>
    </row>
    <row r="348" spans="1:14" s="39" customFormat="1" ht="32.25" customHeight="1">
      <c r="A348" s="317"/>
      <c r="B348" s="290"/>
      <c r="C348" s="300">
        <v>4359</v>
      </c>
      <c r="D348" s="301" t="s">
        <v>383</v>
      </c>
      <c r="E348" s="302">
        <f t="shared" si="50"/>
        <v>0</v>
      </c>
      <c r="F348" s="302">
        <f t="shared" si="51"/>
        <v>0</v>
      </c>
      <c r="G348" s="302"/>
      <c r="H348" s="302"/>
      <c r="I348" s="302"/>
      <c r="J348" s="302"/>
      <c r="K348" s="302"/>
      <c r="L348" s="302"/>
      <c r="M348" s="302"/>
      <c r="N348" s="302"/>
    </row>
    <row r="349" spans="1:14" s="39" customFormat="1" ht="38.25">
      <c r="A349" s="317"/>
      <c r="B349" s="290"/>
      <c r="C349" s="318">
        <v>4368</v>
      </c>
      <c r="D349" s="319" t="s">
        <v>464</v>
      </c>
      <c r="E349" s="302">
        <f t="shared" si="50"/>
        <v>0</v>
      </c>
      <c r="F349" s="302">
        <f t="shared" si="51"/>
        <v>0</v>
      </c>
      <c r="G349" s="302"/>
      <c r="H349" s="302"/>
      <c r="I349" s="302"/>
      <c r="J349" s="302"/>
      <c r="K349" s="302"/>
      <c r="L349" s="302"/>
      <c r="M349" s="302"/>
      <c r="N349" s="302"/>
    </row>
    <row r="350" spans="1:14" s="39" customFormat="1" ht="38.25">
      <c r="A350" s="317"/>
      <c r="B350" s="290"/>
      <c r="C350" s="318">
        <v>4369</v>
      </c>
      <c r="D350" s="319" t="s">
        <v>464</v>
      </c>
      <c r="E350" s="302">
        <f t="shared" si="50"/>
        <v>0</v>
      </c>
      <c r="F350" s="302">
        <f t="shared" si="51"/>
        <v>0</v>
      </c>
      <c r="G350" s="302"/>
      <c r="H350" s="302"/>
      <c r="I350" s="302"/>
      <c r="J350" s="302"/>
      <c r="K350" s="302"/>
      <c r="L350" s="302"/>
      <c r="M350" s="302"/>
      <c r="N350" s="302"/>
    </row>
    <row r="351" spans="1:14" s="39" customFormat="1" ht="38.25">
      <c r="A351" s="317"/>
      <c r="B351" s="290"/>
      <c r="C351" s="318">
        <v>4378</v>
      </c>
      <c r="D351" s="319" t="s">
        <v>457</v>
      </c>
      <c r="E351" s="302">
        <f t="shared" si="50"/>
        <v>0</v>
      </c>
      <c r="F351" s="302">
        <f t="shared" si="51"/>
        <v>0</v>
      </c>
      <c r="G351" s="302"/>
      <c r="H351" s="302"/>
      <c r="I351" s="302"/>
      <c r="J351" s="302"/>
      <c r="K351" s="302"/>
      <c r="L351" s="302"/>
      <c r="M351" s="302"/>
      <c r="N351" s="302"/>
    </row>
    <row r="352" spans="1:14" s="39" customFormat="1" ht="38.25">
      <c r="A352" s="317"/>
      <c r="B352" s="290"/>
      <c r="C352" s="318">
        <v>4379</v>
      </c>
      <c r="D352" s="319" t="s">
        <v>457</v>
      </c>
      <c r="E352" s="302">
        <f t="shared" si="50"/>
        <v>0</v>
      </c>
      <c r="F352" s="302">
        <f t="shared" si="51"/>
        <v>0</v>
      </c>
      <c r="G352" s="302"/>
      <c r="H352" s="302"/>
      <c r="I352" s="302"/>
      <c r="J352" s="302"/>
      <c r="K352" s="302"/>
      <c r="L352" s="302"/>
      <c r="M352" s="302"/>
      <c r="N352" s="302"/>
    </row>
    <row r="353" spans="1:14" s="39" customFormat="1" ht="12.75">
      <c r="A353" s="317"/>
      <c r="B353" s="290"/>
      <c r="C353" s="300">
        <v>4410</v>
      </c>
      <c r="D353" s="301" t="s">
        <v>388</v>
      </c>
      <c r="E353" s="302">
        <f>F353+N353</f>
        <v>0</v>
      </c>
      <c r="F353" s="302">
        <f>SUM(G353:M353)</f>
        <v>0</v>
      </c>
      <c r="G353" s="302"/>
      <c r="H353" s="302"/>
      <c r="I353" s="302"/>
      <c r="J353" s="302"/>
      <c r="K353" s="302"/>
      <c r="L353" s="302"/>
      <c r="M353" s="302"/>
      <c r="N353" s="302"/>
    </row>
    <row r="354" spans="1:14" s="39" customFormat="1" ht="12.75">
      <c r="A354" s="317"/>
      <c r="B354" s="290"/>
      <c r="C354" s="300">
        <v>4410</v>
      </c>
      <c r="D354" s="301" t="s">
        <v>388</v>
      </c>
      <c r="E354" s="302">
        <f>F354+N354</f>
        <v>0</v>
      </c>
      <c r="F354" s="302">
        <f>SUM(G354:M354)</f>
        <v>0</v>
      </c>
      <c r="G354" s="302"/>
      <c r="H354" s="302"/>
      <c r="I354" s="302"/>
      <c r="J354" s="302"/>
      <c r="K354" s="302"/>
      <c r="L354" s="302"/>
      <c r="M354" s="302"/>
      <c r="N354" s="302"/>
    </row>
    <row r="355" spans="1:14" s="39" customFormat="1" ht="51">
      <c r="A355" s="317"/>
      <c r="B355" s="290"/>
      <c r="C355" s="300">
        <v>4748</v>
      </c>
      <c r="D355" s="301" t="s">
        <v>416</v>
      </c>
      <c r="E355" s="302">
        <f t="shared" si="50"/>
        <v>0</v>
      </c>
      <c r="F355" s="302">
        <f t="shared" si="51"/>
        <v>0</v>
      </c>
      <c r="G355" s="302"/>
      <c r="H355" s="302"/>
      <c r="I355" s="302"/>
      <c r="J355" s="302"/>
      <c r="K355" s="302"/>
      <c r="L355" s="302"/>
      <c r="M355" s="302"/>
      <c r="N355" s="302"/>
    </row>
    <row r="356" spans="1:14" s="39" customFormat="1" ht="51">
      <c r="A356" s="317"/>
      <c r="B356" s="290"/>
      <c r="C356" s="300">
        <v>4749</v>
      </c>
      <c r="D356" s="301" t="s">
        <v>416</v>
      </c>
      <c r="E356" s="302">
        <f t="shared" si="50"/>
        <v>0</v>
      </c>
      <c r="F356" s="302">
        <f t="shared" si="51"/>
        <v>0</v>
      </c>
      <c r="G356" s="302"/>
      <c r="H356" s="302"/>
      <c r="I356" s="302"/>
      <c r="J356" s="302"/>
      <c r="K356" s="302"/>
      <c r="L356" s="302"/>
      <c r="M356" s="302"/>
      <c r="N356" s="302"/>
    </row>
    <row r="357" spans="1:14" s="39" customFormat="1" ht="38.25">
      <c r="A357" s="317"/>
      <c r="B357" s="290"/>
      <c r="C357" s="318">
        <v>4758</v>
      </c>
      <c r="D357" s="319" t="s">
        <v>458</v>
      </c>
      <c r="E357" s="302">
        <f t="shared" si="50"/>
        <v>0</v>
      </c>
      <c r="F357" s="302">
        <f t="shared" si="51"/>
        <v>0</v>
      </c>
      <c r="G357" s="302"/>
      <c r="H357" s="302"/>
      <c r="I357" s="302"/>
      <c r="J357" s="302"/>
      <c r="K357" s="302"/>
      <c r="L357" s="115"/>
      <c r="M357" s="302"/>
      <c r="N357" s="302"/>
    </row>
    <row r="358" spans="1:14" s="39" customFormat="1" ht="38.25">
      <c r="A358" s="317"/>
      <c r="B358" s="290"/>
      <c r="C358" s="318">
        <v>4759</v>
      </c>
      <c r="D358" s="319" t="s">
        <v>458</v>
      </c>
      <c r="E358" s="302">
        <f t="shared" si="50"/>
        <v>0</v>
      </c>
      <c r="F358" s="302">
        <f t="shared" si="51"/>
        <v>0</v>
      </c>
      <c r="G358" s="302"/>
      <c r="H358" s="302"/>
      <c r="I358" s="302"/>
      <c r="J358" s="302"/>
      <c r="K358" s="302"/>
      <c r="L358" s="115"/>
      <c r="M358" s="302"/>
      <c r="N358" s="302"/>
    </row>
    <row r="359" spans="1:14" s="294" customFormat="1" ht="12.75">
      <c r="A359" s="290">
        <v>851</v>
      </c>
      <c r="B359" s="290"/>
      <c r="C359" s="291"/>
      <c r="D359" s="307" t="s">
        <v>475</v>
      </c>
      <c r="E359" s="293">
        <f t="shared" si="50"/>
        <v>1224000</v>
      </c>
      <c r="F359" s="293">
        <f t="shared" si="51"/>
        <v>1224000</v>
      </c>
      <c r="G359" s="293">
        <f>SUM(G362+G360)</f>
        <v>0</v>
      </c>
      <c r="H359" s="293">
        <f aca="true" t="shared" si="57" ref="H359:N359">SUM(H362+H360)</f>
        <v>0</v>
      </c>
      <c r="I359" s="293">
        <f t="shared" si="57"/>
        <v>0</v>
      </c>
      <c r="J359" s="293">
        <f t="shared" si="57"/>
        <v>0</v>
      </c>
      <c r="K359" s="293">
        <f t="shared" si="57"/>
        <v>0</v>
      </c>
      <c r="L359" s="293">
        <f t="shared" si="57"/>
        <v>0</v>
      </c>
      <c r="M359" s="293">
        <f t="shared" si="57"/>
        <v>1224000</v>
      </c>
      <c r="N359" s="293">
        <f t="shared" si="57"/>
        <v>0</v>
      </c>
    </row>
    <row r="360" spans="1:14" s="62" customFormat="1" ht="76.5">
      <c r="A360" s="295"/>
      <c r="B360" s="295">
        <v>85156</v>
      </c>
      <c r="C360" s="296"/>
      <c r="D360" s="306" t="s">
        <v>476</v>
      </c>
      <c r="E360" s="298">
        <f t="shared" si="50"/>
        <v>1174000</v>
      </c>
      <c r="F360" s="298">
        <f t="shared" si="51"/>
        <v>1174000</v>
      </c>
      <c r="G360" s="298">
        <f aca="true" t="shared" si="58" ref="G360:M360">SUM(G361)</f>
        <v>0</v>
      </c>
      <c r="H360" s="298">
        <f t="shared" si="58"/>
        <v>0</v>
      </c>
      <c r="I360" s="298">
        <f t="shared" si="58"/>
        <v>0</v>
      </c>
      <c r="J360" s="298">
        <f t="shared" si="58"/>
        <v>0</v>
      </c>
      <c r="K360" s="298">
        <f t="shared" si="58"/>
        <v>0</v>
      </c>
      <c r="L360" s="298">
        <f t="shared" si="58"/>
        <v>0</v>
      </c>
      <c r="M360" s="298">
        <f t="shared" si="58"/>
        <v>1174000</v>
      </c>
      <c r="N360" s="298"/>
    </row>
    <row r="361" spans="1:14" s="39" customFormat="1" ht="25.5">
      <c r="A361" s="299"/>
      <c r="B361" s="299"/>
      <c r="C361" s="300">
        <v>4130</v>
      </c>
      <c r="D361" s="301" t="s">
        <v>477</v>
      </c>
      <c r="E361" s="302">
        <f t="shared" si="50"/>
        <v>1174000</v>
      </c>
      <c r="F361" s="302">
        <f t="shared" si="51"/>
        <v>1174000</v>
      </c>
      <c r="G361" s="302"/>
      <c r="H361" s="302"/>
      <c r="I361" s="302"/>
      <c r="J361" s="302"/>
      <c r="K361" s="302"/>
      <c r="L361" s="302"/>
      <c r="M361" s="302">
        <v>1174000</v>
      </c>
      <c r="N361" s="302"/>
    </row>
    <row r="362" spans="1:14" s="62" customFormat="1" ht="25.5">
      <c r="A362" s="295"/>
      <c r="B362" s="295">
        <v>85149</v>
      </c>
      <c r="C362" s="296"/>
      <c r="D362" s="306" t="s">
        <v>478</v>
      </c>
      <c r="E362" s="298">
        <f t="shared" si="50"/>
        <v>50000</v>
      </c>
      <c r="F362" s="298">
        <f t="shared" si="51"/>
        <v>50000</v>
      </c>
      <c r="G362" s="298">
        <f aca="true" t="shared" si="59" ref="G362:M362">G363</f>
        <v>0</v>
      </c>
      <c r="H362" s="298">
        <f t="shared" si="59"/>
        <v>0</v>
      </c>
      <c r="I362" s="298">
        <f t="shared" si="59"/>
        <v>0</v>
      </c>
      <c r="J362" s="298">
        <f t="shared" si="59"/>
        <v>0</v>
      </c>
      <c r="K362" s="298">
        <f t="shared" si="59"/>
        <v>0</v>
      </c>
      <c r="L362" s="298">
        <f t="shared" si="59"/>
        <v>0</v>
      </c>
      <c r="M362" s="298">
        <f t="shared" si="59"/>
        <v>50000</v>
      </c>
      <c r="N362" s="298"/>
    </row>
    <row r="363" spans="1:14" s="39" customFormat="1" ht="12.75">
      <c r="A363" s="299"/>
      <c r="B363" s="299"/>
      <c r="C363" s="300">
        <v>4280</v>
      </c>
      <c r="D363" s="301" t="s">
        <v>479</v>
      </c>
      <c r="E363" s="302">
        <f t="shared" si="50"/>
        <v>50000</v>
      </c>
      <c r="F363" s="302">
        <f t="shared" si="51"/>
        <v>50000</v>
      </c>
      <c r="G363" s="302"/>
      <c r="H363" s="302"/>
      <c r="I363" s="302"/>
      <c r="J363" s="302"/>
      <c r="K363" s="302"/>
      <c r="L363" s="302"/>
      <c r="M363" s="302">
        <v>50000</v>
      </c>
      <c r="N363" s="302"/>
    </row>
    <row r="364" spans="1:14" s="294" customFormat="1" ht="12.75">
      <c r="A364" s="290">
        <v>852</v>
      </c>
      <c r="B364" s="290"/>
      <c r="C364" s="291"/>
      <c r="D364" s="307" t="s">
        <v>480</v>
      </c>
      <c r="E364" s="293">
        <f t="shared" si="50"/>
        <v>15604912</v>
      </c>
      <c r="F364" s="293">
        <f t="shared" si="51"/>
        <v>15005392</v>
      </c>
      <c r="G364" s="293">
        <f aca="true" t="shared" si="60" ref="G364:N364">SUM(G365+G393+G421+G445+G451+G476+G488+G491)</f>
        <v>6207110</v>
      </c>
      <c r="H364" s="293">
        <f t="shared" si="60"/>
        <v>524790</v>
      </c>
      <c r="I364" s="293">
        <f t="shared" si="60"/>
        <v>1210692</v>
      </c>
      <c r="J364" s="293">
        <f t="shared" si="60"/>
        <v>445300</v>
      </c>
      <c r="K364" s="293">
        <f t="shared" si="60"/>
        <v>0</v>
      </c>
      <c r="L364" s="293">
        <f t="shared" si="60"/>
        <v>0</v>
      </c>
      <c r="M364" s="293">
        <f t="shared" si="60"/>
        <v>6617500</v>
      </c>
      <c r="N364" s="293">
        <f t="shared" si="60"/>
        <v>599520</v>
      </c>
    </row>
    <row r="365" spans="1:14" s="62" customFormat="1" ht="25.5">
      <c r="A365" s="295"/>
      <c r="B365" s="295">
        <v>85201</v>
      </c>
      <c r="C365" s="296"/>
      <c r="D365" s="306" t="s">
        <v>481</v>
      </c>
      <c r="E365" s="298">
        <f t="shared" si="50"/>
        <v>2149552</v>
      </c>
      <c r="F365" s="298">
        <f t="shared" si="51"/>
        <v>1619552</v>
      </c>
      <c r="G365" s="298">
        <f>SUM(G366:G392)</f>
        <v>746000</v>
      </c>
      <c r="H365" s="298">
        <f aca="true" t="shared" si="61" ref="H365:N365">SUM(H366:H392)</f>
        <v>56900</v>
      </c>
      <c r="I365" s="298">
        <f t="shared" si="61"/>
        <v>138900</v>
      </c>
      <c r="J365" s="298">
        <f t="shared" si="61"/>
        <v>318000</v>
      </c>
      <c r="K365" s="298">
        <f t="shared" si="61"/>
        <v>0</v>
      </c>
      <c r="L365" s="298">
        <f t="shared" si="61"/>
        <v>0</v>
      </c>
      <c r="M365" s="298">
        <f t="shared" si="61"/>
        <v>359752</v>
      </c>
      <c r="N365" s="298">
        <f t="shared" si="61"/>
        <v>530000</v>
      </c>
    </row>
    <row r="366" spans="1:14" s="39" customFormat="1" ht="85.5" customHeight="1">
      <c r="A366" s="299"/>
      <c r="B366" s="299"/>
      <c r="C366" s="300">
        <v>2320</v>
      </c>
      <c r="D366" s="301" t="s">
        <v>482</v>
      </c>
      <c r="E366" s="302">
        <f t="shared" si="50"/>
        <v>318000</v>
      </c>
      <c r="F366" s="302">
        <f>SUM(G366:K366)</f>
        <v>318000</v>
      </c>
      <c r="G366" s="302"/>
      <c r="H366" s="302"/>
      <c r="I366" s="302"/>
      <c r="J366" s="302">
        <v>318000</v>
      </c>
      <c r="K366" s="302"/>
      <c r="L366" s="302"/>
      <c r="M366" s="115"/>
      <c r="N366" s="302"/>
    </row>
    <row r="367" spans="1:14" s="39" customFormat="1" ht="34.5" customHeight="1">
      <c r="A367" s="299"/>
      <c r="B367" s="299"/>
      <c r="C367" s="300">
        <v>3020</v>
      </c>
      <c r="D367" s="301" t="s">
        <v>607</v>
      </c>
      <c r="E367" s="302">
        <f t="shared" si="50"/>
        <v>30600</v>
      </c>
      <c r="F367" s="302">
        <f t="shared" si="51"/>
        <v>30600</v>
      </c>
      <c r="G367" s="302"/>
      <c r="H367" s="302"/>
      <c r="I367" s="302"/>
      <c r="J367" s="302"/>
      <c r="K367" s="302"/>
      <c r="L367" s="302"/>
      <c r="M367" s="302">
        <v>30600</v>
      </c>
      <c r="N367" s="302"/>
    </row>
    <row r="368" spans="1:14" s="39" customFormat="1" ht="24.75" customHeight="1">
      <c r="A368" s="299"/>
      <c r="B368" s="299"/>
      <c r="C368" s="300">
        <v>3110</v>
      </c>
      <c r="D368" s="301" t="s">
        <v>483</v>
      </c>
      <c r="E368" s="302">
        <f t="shared" si="50"/>
        <v>112552</v>
      </c>
      <c r="F368" s="302">
        <f t="shared" si="51"/>
        <v>112552</v>
      </c>
      <c r="G368" s="302"/>
      <c r="H368" s="302"/>
      <c r="I368" s="302"/>
      <c r="J368" s="302"/>
      <c r="K368" s="302"/>
      <c r="L368" s="302"/>
      <c r="M368" s="302">
        <v>112552</v>
      </c>
      <c r="N368" s="302"/>
    </row>
    <row r="369" spans="1:14" s="39" customFormat="1" ht="25.5">
      <c r="A369" s="299"/>
      <c r="B369" s="299"/>
      <c r="C369" s="300">
        <v>4010</v>
      </c>
      <c r="D369" s="301" t="s">
        <v>374</v>
      </c>
      <c r="E369" s="302">
        <f t="shared" si="50"/>
        <v>746000</v>
      </c>
      <c r="F369" s="302">
        <f t="shared" si="51"/>
        <v>746000</v>
      </c>
      <c r="G369" s="302">
        <v>746000</v>
      </c>
      <c r="H369" s="302"/>
      <c r="I369" s="302"/>
      <c r="J369" s="302"/>
      <c r="K369" s="302"/>
      <c r="L369" s="302"/>
      <c r="M369" s="302"/>
      <c r="N369" s="302"/>
    </row>
    <row r="370" spans="1:14" s="39" customFormat="1" ht="25.5">
      <c r="A370" s="299"/>
      <c r="B370" s="299"/>
      <c r="C370" s="300">
        <v>4040</v>
      </c>
      <c r="D370" s="301" t="s">
        <v>375</v>
      </c>
      <c r="E370" s="302">
        <f t="shared" si="50"/>
        <v>56900</v>
      </c>
      <c r="F370" s="302">
        <f t="shared" si="51"/>
        <v>56900</v>
      </c>
      <c r="G370" s="302"/>
      <c r="H370" s="302">
        <v>56900</v>
      </c>
      <c r="I370" s="302"/>
      <c r="J370" s="302"/>
      <c r="K370" s="302"/>
      <c r="L370" s="302"/>
      <c r="M370" s="302"/>
      <c r="N370" s="302"/>
    </row>
    <row r="371" spans="1:14" s="39" customFormat="1" ht="25.5">
      <c r="A371" s="299"/>
      <c r="B371" s="299"/>
      <c r="C371" s="300">
        <v>4110</v>
      </c>
      <c r="D371" s="301" t="s">
        <v>376</v>
      </c>
      <c r="E371" s="302">
        <f t="shared" si="50"/>
        <v>119900</v>
      </c>
      <c r="F371" s="302">
        <f t="shared" si="51"/>
        <v>119900</v>
      </c>
      <c r="G371" s="302"/>
      <c r="H371" s="302"/>
      <c r="I371" s="302">
        <v>119900</v>
      </c>
      <c r="J371" s="302"/>
      <c r="K371" s="302"/>
      <c r="L371" s="302"/>
      <c r="M371" s="302"/>
      <c r="N371" s="302"/>
    </row>
    <row r="372" spans="1:14" s="39" customFormat="1" ht="12.75">
      <c r="A372" s="299"/>
      <c r="B372" s="299"/>
      <c r="C372" s="300">
        <v>4120</v>
      </c>
      <c r="D372" s="301" t="s">
        <v>377</v>
      </c>
      <c r="E372" s="302">
        <f t="shared" si="50"/>
        <v>19000</v>
      </c>
      <c r="F372" s="302">
        <f t="shared" si="51"/>
        <v>19000</v>
      </c>
      <c r="G372" s="302"/>
      <c r="H372" s="302"/>
      <c r="I372" s="302">
        <v>19000</v>
      </c>
      <c r="J372" s="302"/>
      <c r="K372" s="302"/>
      <c r="L372" s="302"/>
      <c r="M372" s="302"/>
      <c r="N372" s="302"/>
    </row>
    <row r="373" spans="1:14" s="39" customFormat="1" ht="33" customHeight="1">
      <c r="A373" s="317"/>
      <c r="B373" s="290"/>
      <c r="C373" s="318">
        <v>4170</v>
      </c>
      <c r="D373" s="319" t="s">
        <v>413</v>
      </c>
      <c r="E373" s="302">
        <f>F373+N373</f>
        <v>20000</v>
      </c>
      <c r="F373" s="302">
        <f>SUM(G373:M373)</f>
        <v>20000</v>
      </c>
      <c r="G373" s="302"/>
      <c r="H373" s="302"/>
      <c r="I373" s="320"/>
      <c r="J373" s="302"/>
      <c r="K373" s="302"/>
      <c r="L373" s="320"/>
      <c r="M373" s="302">
        <v>20000</v>
      </c>
      <c r="N373" s="302"/>
    </row>
    <row r="374" spans="1:14" s="39" customFormat="1" ht="25.5">
      <c r="A374" s="299"/>
      <c r="B374" s="299"/>
      <c r="C374" s="300">
        <v>4210</v>
      </c>
      <c r="D374" s="301" t="s">
        <v>379</v>
      </c>
      <c r="E374" s="302">
        <f t="shared" si="50"/>
        <v>38300</v>
      </c>
      <c r="F374" s="302">
        <f t="shared" si="51"/>
        <v>38300</v>
      </c>
      <c r="G374" s="302"/>
      <c r="H374" s="302"/>
      <c r="I374" s="302"/>
      <c r="J374" s="302"/>
      <c r="K374" s="302"/>
      <c r="L374" s="302"/>
      <c r="M374" s="302">
        <v>38300</v>
      </c>
      <c r="N374" s="302"/>
    </row>
    <row r="375" spans="1:14" s="39" customFormat="1" ht="12.75">
      <c r="A375" s="299"/>
      <c r="B375" s="299"/>
      <c r="C375" s="300">
        <v>4220</v>
      </c>
      <c r="D375" s="301" t="s">
        <v>484</v>
      </c>
      <c r="E375" s="302">
        <f t="shared" si="50"/>
        <v>47300</v>
      </c>
      <c r="F375" s="302">
        <f t="shared" si="51"/>
        <v>47300</v>
      </c>
      <c r="G375" s="302"/>
      <c r="H375" s="302"/>
      <c r="I375" s="302"/>
      <c r="J375" s="302"/>
      <c r="K375" s="302"/>
      <c r="L375" s="302"/>
      <c r="M375" s="302">
        <v>47300</v>
      </c>
      <c r="N375" s="302"/>
    </row>
    <row r="376" spans="1:14" s="39" customFormat="1" ht="38.25">
      <c r="A376" s="299"/>
      <c r="B376" s="299"/>
      <c r="C376" s="300">
        <v>4230</v>
      </c>
      <c r="D376" s="301" t="s">
        <v>104</v>
      </c>
      <c r="E376" s="302">
        <f t="shared" si="50"/>
        <v>2100</v>
      </c>
      <c r="F376" s="302">
        <f t="shared" si="51"/>
        <v>2100</v>
      </c>
      <c r="G376" s="302"/>
      <c r="H376" s="302"/>
      <c r="I376" s="302"/>
      <c r="J376" s="302"/>
      <c r="K376" s="302"/>
      <c r="L376" s="302"/>
      <c r="M376" s="302">
        <v>2100</v>
      </c>
      <c r="N376" s="302"/>
    </row>
    <row r="377" spans="1:14" s="39" customFormat="1" ht="25.5">
      <c r="A377" s="299"/>
      <c r="B377" s="299"/>
      <c r="C377" s="300">
        <v>4240</v>
      </c>
      <c r="D377" s="301" t="s">
        <v>456</v>
      </c>
      <c r="E377" s="302">
        <f t="shared" si="50"/>
        <v>2100</v>
      </c>
      <c r="F377" s="302">
        <f t="shared" si="51"/>
        <v>2100</v>
      </c>
      <c r="G377" s="302"/>
      <c r="H377" s="302"/>
      <c r="I377" s="302"/>
      <c r="J377" s="302"/>
      <c r="K377" s="302"/>
      <c r="L377" s="302"/>
      <c r="M377" s="302">
        <v>2100</v>
      </c>
      <c r="N377" s="302"/>
    </row>
    <row r="378" spans="1:14" s="39" customFormat="1" ht="12.75">
      <c r="A378" s="299"/>
      <c r="B378" s="299"/>
      <c r="C378" s="300">
        <v>4260</v>
      </c>
      <c r="D378" s="301" t="s">
        <v>380</v>
      </c>
      <c r="E378" s="302">
        <f t="shared" si="50"/>
        <v>25000</v>
      </c>
      <c r="F378" s="302">
        <f t="shared" si="51"/>
        <v>25000</v>
      </c>
      <c r="G378" s="302"/>
      <c r="H378" s="302"/>
      <c r="I378" s="302"/>
      <c r="J378" s="302"/>
      <c r="K378" s="302"/>
      <c r="L378" s="302"/>
      <c r="M378" s="302">
        <v>25000</v>
      </c>
      <c r="N378" s="302"/>
    </row>
    <row r="379" spans="1:14" s="39" customFormat="1" ht="12.75">
      <c r="A379" s="299"/>
      <c r="B379" s="299"/>
      <c r="C379" s="300">
        <v>4270</v>
      </c>
      <c r="D379" s="301" t="s">
        <v>397</v>
      </c>
      <c r="E379" s="302">
        <f t="shared" si="50"/>
        <v>6300</v>
      </c>
      <c r="F379" s="302">
        <f t="shared" si="51"/>
        <v>6300</v>
      </c>
      <c r="G379" s="302"/>
      <c r="H379" s="302"/>
      <c r="I379" s="302"/>
      <c r="J379" s="302"/>
      <c r="K379" s="302"/>
      <c r="L379" s="302"/>
      <c r="M379" s="302">
        <v>6300</v>
      </c>
      <c r="N379" s="302"/>
    </row>
    <row r="380" spans="1:14" s="39" customFormat="1" ht="12.75">
      <c r="A380" s="299"/>
      <c r="B380" s="299"/>
      <c r="C380" s="300">
        <v>4280</v>
      </c>
      <c r="D380" s="301" t="s">
        <v>382</v>
      </c>
      <c r="E380" s="302">
        <f t="shared" si="50"/>
        <v>300</v>
      </c>
      <c r="F380" s="302">
        <f t="shared" si="51"/>
        <v>300</v>
      </c>
      <c r="G380" s="302"/>
      <c r="H380" s="302"/>
      <c r="I380" s="302"/>
      <c r="J380" s="302"/>
      <c r="K380" s="302"/>
      <c r="L380" s="302"/>
      <c r="M380" s="302">
        <v>300</v>
      </c>
      <c r="N380" s="302"/>
    </row>
    <row r="381" spans="1:14" s="39" customFormat="1" ht="12.75">
      <c r="A381" s="299"/>
      <c r="B381" s="299"/>
      <c r="C381" s="300">
        <v>4300</v>
      </c>
      <c r="D381" s="301" t="s">
        <v>424</v>
      </c>
      <c r="E381" s="302">
        <f t="shared" si="50"/>
        <v>16800</v>
      </c>
      <c r="F381" s="302">
        <f t="shared" si="51"/>
        <v>16800</v>
      </c>
      <c r="G381" s="302"/>
      <c r="H381" s="302"/>
      <c r="I381" s="302"/>
      <c r="J381" s="302"/>
      <c r="K381" s="302"/>
      <c r="L381" s="302"/>
      <c r="M381" s="302">
        <v>16800</v>
      </c>
      <c r="N381" s="302"/>
    </row>
    <row r="382" spans="1:14" s="39" customFormat="1" ht="25.5">
      <c r="A382" s="299"/>
      <c r="B382" s="299"/>
      <c r="C382" s="300">
        <v>4350</v>
      </c>
      <c r="D382" s="301" t="s">
        <v>383</v>
      </c>
      <c r="E382" s="302">
        <f aca="true" t="shared" si="62" ref="E382:E444">F382+N382</f>
        <v>1200</v>
      </c>
      <c r="F382" s="302">
        <f aca="true" t="shared" si="63" ref="F382:F444">SUM(G382:M382)</f>
        <v>1200</v>
      </c>
      <c r="G382" s="302"/>
      <c r="H382" s="302"/>
      <c r="I382" s="302"/>
      <c r="J382" s="302"/>
      <c r="K382" s="302"/>
      <c r="L382" s="302"/>
      <c r="M382" s="302">
        <v>1200</v>
      </c>
      <c r="N382" s="302"/>
    </row>
    <row r="383" spans="1:14" s="39" customFormat="1" ht="38.25">
      <c r="A383" s="299"/>
      <c r="B383" s="299"/>
      <c r="C383" s="300">
        <v>4360</v>
      </c>
      <c r="D383" s="301" t="s">
        <v>464</v>
      </c>
      <c r="E383" s="302">
        <f t="shared" si="62"/>
        <v>1300</v>
      </c>
      <c r="F383" s="302">
        <f t="shared" si="63"/>
        <v>1300</v>
      </c>
      <c r="G383" s="302"/>
      <c r="H383" s="302"/>
      <c r="I383" s="302"/>
      <c r="J383" s="302"/>
      <c r="K383" s="302"/>
      <c r="L383" s="302"/>
      <c r="M383" s="302">
        <v>1300</v>
      </c>
      <c r="N383" s="302"/>
    </row>
    <row r="384" spans="1:14" s="39" customFormat="1" ht="38.25">
      <c r="A384" s="299"/>
      <c r="B384" s="299"/>
      <c r="C384" s="300">
        <v>4370</v>
      </c>
      <c r="D384" s="301" t="s">
        <v>457</v>
      </c>
      <c r="E384" s="302">
        <f t="shared" si="62"/>
        <v>5200</v>
      </c>
      <c r="F384" s="302">
        <f t="shared" si="63"/>
        <v>5200</v>
      </c>
      <c r="G384" s="302"/>
      <c r="H384" s="302"/>
      <c r="I384" s="302"/>
      <c r="J384" s="302"/>
      <c r="K384" s="302"/>
      <c r="L384" s="302"/>
      <c r="M384" s="302">
        <v>5200</v>
      </c>
      <c r="N384" s="302"/>
    </row>
    <row r="385" spans="1:14" s="39" customFormat="1" ht="12.75">
      <c r="A385" s="299"/>
      <c r="B385" s="299"/>
      <c r="C385" s="300">
        <v>4410</v>
      </c>
      <c r="D385" s="301" t="s">
        <v>388</v>
      </c>
      <c r="E385" s="302">
        <f t="shared" si="62"/>
        <v>3200</v>
      </c>
      <c r="F385" s="302">
        <f t="shared" si="63"/>
        <v>3200</v>
      </c>
      <c r="G385" s="302"/>
      <c r="H385" s="302"/>
      <c r="I385" s="302"/>
      <c r="J385" s="302"/>
      <c r="K385" s="302"/>
      <c r="L385" s="302"/>
      <c r="M385" s="302">
        <v>3200</v>
      </c>
      <c r="N385" s="302"/>
    </row>
    <row r="386" spans="1:14" s="39" customFormat="1" ht="12.75">
      <c r="A386" s="299"/>
      <c r="B386" s="299"/>
      <c r="C386" s="300">
        <v>4430</v>
      </c>
      <c r="D386" s="301" t="s">
        <v>389</v>
      </c>
      <c r="E386" s="302">
        <f t="shared" si="62"/>
        <v>2600</v>
      </c>
      <c r="F386" s="302">
        <f t="shared" si="63"/>
        <v>2600</v>
      </c>
      <c r="G386" s="302"/>
      <c r="H386" s="302"/>
      <c r="I386" s="302"/>
      <c r="J386" s="302"/>
      <c r="K386" s="302"/>
      <c r="L386" s="302"/>
      <c r="M386" s="302">
        <v>2600</v>
      </c>
      <c r="N386" s="302"/>
    </row>
    <row r="387" spans="1:14" s="39" customFormat="1" ht="25.5">
      <c r="A387" s="299"/>
      <c r="B387" s="299"/>
      <c r="C387" s="300">
        <v>4440</v>
      </c>
      <c r="D387" s="301" t="s">
        <v>390</v>
      </c>
      <c r="E387" s="302">
        <f t="shared" si="62"/>
        <v>36600</v>
      </c>
      <c r="F387" s="302">
        <f t="shared" si="63"/>
        <v>36600</v>
      </c>
      <c r="G387" s="302"/>
      <c r="H387" s="302"/>
      <c r="I387" s="302"/>
      <c r="J387" s="302"/>
      <c r="K387" s="302"/>
      <c r="L387" s="302"/>
      <c r="M387" s="302">
        <v>36600</v>
      </c>
      <c r="N387" s="302"/>
    </row>
    <row r="388" spans="1:14" s="39" customFormat="1" ht="12.75">
      <c r="A388" s="299"/>
      <c r="B388" s="299"/>
      <c r="C388" s="300">
        <v>4480</v>
      </c>
      <c r="D388" s="301" t="s">
        <v>391</v>
      </c>
      <c r="E388" s="302">
        <f t="shared" si="62"/>
        <v>4600</v>
      </c>
      <c r="F388" s="302">
        <f t="shared" si="63"/>
        <v>4600</v>
      </c>
      <c r="G388" s="302"/>
      <c r="H388" s="302"/>
      <c r="I388" s="302"/>
      <c r="J388" s="302"/>
      <c r="K388" s="302"/>
      <c r="L388" s="302"/>
      <c r="M388" s="302">
        <v>4600</v>
      </c>
      <c r="N388" s="302"/>
    </row>
    <row r="389" spans="1:14" s="39" customFormat="1" ht="25.5">
      <c r="A389" s="299"/>
      <c r="B389" s="299"/>
      <c r="C389" s="300">
        <v>4520</v>
      </c>
      <c r="D389" s="301" t="s">
        <v>486</v>
      </c>
      <c r="E389" s="302">
        <f t="shared" si="62"/>
        <v>1300</v>
      </c>
      <c r="F389" s="302">
        <f t="shared" si="63"/>
        <v>1300</v>
      </c>
      <c r="G389" s="302"/>
      <c r="H389" s="302"/>
      <c r="I389" s="302"/>
      <c r="J389" s="302"/>
      <c r="K389" s="302"/>
      <c r="L389" s="302"/>
      <c r="M389" s="302">
        <v>1300</v>
      </c>
      <c r="N389" s="302"/>
    </row>
    <row r="390" spans="1:14" s="39" customFormat="1" ht="51">
      <c r="A390" s="299"/>
      <c r="B390" s="299"/>
      <c r="C390" s="300">
        <v>4740</v>
      </c>
      <c r="D390" s="301" t="s">
        <v>416</v>
      </c>
      <c r="E390" s="302">
        <f t="shared" si="62"/>
        <v>1300</v>
      </c>
      <c r="F390" s="302">
        <f t="shared" si="63"/>
        <v>1300</v>
      </c>
      <c r="G390" s="302"/>
      <c r="H390" s="302"/>
      <c r="I390" s="302"/>
      <c r="J390" s="302"/>
      <c r="K390" s="302"/>
      <c r="L390" s="302"/>
      <c r="M390" s="302">
        <v>1300</v>
      </c>
      <c r="N390" s="302"/>
    </row>
    <row r="391" spans="1:14" s="39" customFormat="1" ht="38.25">
      <c r="A391" s="299"/>
      <c r="B391" s="299"/>
      <c r="C391" s="300">
        <v>4750</v>
      </c>
      <c r="D391" s="301" t="s">
        <v>458</v>
      </c>
      <c r="E391" s="302">
        <f t="shared" si="62"/>
        <v>1100</v>
      </c>
      <c r="F391" s="302">
        <f t="shared" si="63"/>
        <v>1100</v>
      </c>
      <c r="G391" s="302"/>
      <c r="H391" s="302"/>
      <c r="I391" s="302"/>
      <c r="J391" s="302"/>
      <c r="K391" s="302"/>
      <c r="L391" s="302"/>
      <c r="M391" s="302">
        <v>1100</v>
      </c>
      <c r="N391" s="302"/>
    </row>
    <row r="392" spans="1:14" s="39" customFormat="1" ht="25.5">
      <c r="A392" s="317"/>
      <c r="B392" s="290"/>
      <c r="C392" s="300">
        <v>6050</v>
      </c>
      <c r="D392" s="301" t="s">
        <v>122</v>
      </c>
      <c r="E392" s="302">
        <f>F392+N392</f>
        <v>530000</v>
      </c>
      <c r="F392" s="302">
        <f>SUM(G392:M392)</f>
        <v>0</v>
      </c>
      <c r="G392" s="302"/>
      <c r="H392" s="302"/>
      <c r="I392" s="302"/>
      <c r="J392" s="302"/>
      <c r="K392" s="302"/>
      <c r="L392" s="302"/>
      <c r="M392" s="302"/>
      <c r="N392" s="302">
        <v>530000</v>
      </c>
    </row>
    <row r="393" spans="1:14" s="62" customFormat="1" ht="12.75">
      <c r="A393" s="316"/>
      <c r="B393" s="295">
        <v>85202</v>
      </c>
      <c r="C393" s="296"/>
      <c r="D393" s="306" t="s">
        <v>487</v>
      </c>
      <c r="E393" s="298">
        <f t="shared" si="62"/>
        <v>9689920</v>
      </c>
      <c r="F393" s="298">
        <f t="shared" si="63"/>
        <v>9639920</v>
      </c>
      <c r="G393" s="298">
        <f aca="true" t="shared" si="64" ref="G393:N393">SUM(G394:G420)</f>
        <v>4643200</v>
      </c>
      <c r="H393" s="298">
        <f t="shared" si="64"/>
        <v>411588</v>
      </c>
      <c r="I393" s="298">
        <f t="shared" si="64"/>
        <v>915112</v>
      </c>
      <c r="J393" s="298">
        <f t="shared" si="64"/>
        <v>0</v>
      </c>
      <c r="K393" s="298">
        <f t="shared" si="64"/>
        <v>0</v>
      </c>
      <c r="L393" s="298">
        <f t="shared" si="64"/>
        <v>0</v>
      </c>
      <c r="M393" s="298">
        <f t="shared" si="64"/>
        <v>3670020</v>
      </c>
      <c r="N393" s="298">
        <f t="shared" si="64"/>
        <v>50000</v>
      </c>
    </row>
    <row r="394" spans="1:14" s="39" customFormat="1" ht="47.25" customHeight="1">
      <c r="A394" s="317"/>
      <c r="B394" s="299"/>
      <c r="C394" s="300">
        <v>3020</v>
      </c>
      <c r="D394" s="301" t="s">
        <v>488</v>
      </c>
      <c r="E394" s="302">
        <f t="shared" si="62"/>
        <v>21500</v>
      </c>
      <c r="F394" s="302">
        <f t="shared" si="63"/>
        <v>21500</v>
      </c>
      <c r="G394" s="302"/>
      <c r="H394" s="302"/>
      <c r="I394" s="302"/>
      <c r="J394" s="302"/>
      <c r="K394" s="302"/>
      <c r="L394" s="302"/>
      <c r="M394" s="302">
        <v>21500</v>
      </c>
      <c r="N394" s="302"/>
    </row>
    <row r="395" spans="1:14" s="39" customFormat="1" ht="42.75" customHeight="1">
      <c r="A395" s="317"/>
      <c r="B395" s="299"/>
      <c r="C395" s="300">
        <v>4010</v>
      </c>
      <c r="D395" s="301" t="s">
        <v>374</v>
      </c>
      <c r="E395" s="302">
        <f t="shared" si="62"/>
        <v>4643200</v>
      </c>
      <c r="F395" s="302">
        <f t="shared" si="63"/>
        <v>4643200</v>
      </c>
      <c r="G395" s="302">
        <v>4643200</v>
      </c>
      <c r="H395" s="302"/>
      <c r="I395" s="302"/>
      <c r="J395" s="302"/>
      <c r="K395" s="302"/>
      <c r="L395" s="302"/>
      <c r="M395" s="302"/>
      <c r="N395" s="302"/>
    </row>
    <row r="396" spans="1:14" s="39" customFormat="1" ht="25.5">
      <c r="A396" s="317"/>
      <c r="B396" s="299"/>
      <c r="C396" s="300">
        <v>4040</v>
      </c>
      <c r="D396" s="301" t="s">
        <v>375</v>
      </c>
      <c r="E396" s="302">
        <f t="shared" si="62"/>
        <v>411588</v>
      </c>
      <c r="F396" s="302">
        <f t="shared" si="63"/>
        <v>411588</v>
      </c>
      <c r="G396" s="302"/>
      <c r="H396" s="302">
        <v>411588</v>
      </c>
      <c r="I396" s="302"/>
      <c r="J396" s="302"/>
      <c r="K396" s="302"/>
      <c r="L396" s="302"/>
      <c r="M396" s="302"/>
      <c r="N396" s="302"/>
    </row>
    <row r="397" spans="1:14" s="39" customFormat="1" ht="25.5">
      <c r="A397" s="317"/>
      <c r="B397" s="299"/>
      <c r="C397" s="300">
        <v>4110</v>
      </c>
      <c r="D397" s="301" t="s">
        <v>376</v>
      </c>
      <c r="E397" s="302">
        <f t="shared" si="62"/>
        <v>788612</v>
      </c>
      <c r="F397" s="302">
        <f t="shared" si="63"/>
        <v>788612</v>
      </c>
      <c r="G397" s="302"/>
      <c r="H397" s="302"/>
      <c r="I397" s="302">
        <v>788612</v>
      </c>
      <c r="J397" s="302"/>
      <c r="K397" s="302"/>
      <c r="L397" s="302"/>
      <c r="M397" s="302"/>
      <c r="N397" s="302"/>
    </row>
    <row r="398" spans="1:14" s="39" customFormat="1" ht="12.75">
      <c r="A398" s="317"/>
      <c r="B398" s="299"/>
      <c r="C398" s="300">
        <v>4120</v>
      </c>
      <c r="D398" s="301" t="s">
        <v>377</v>
      </c>
      <c r="E398" s="302">
        <f t="shared" si="62"/>
        <v>126500</v>
      </c>
      <c r="F398" s="302">
        <f t="shared" si="63"/>
        <v>126500</v>
      </c>
      <c r="G398" s="302"/>
      <c r="H398" s="302"/>
      <c r="I398" s="302">
        <v>126500</v>
      </c>
      <c r="J398" s="302"/>
      <c r="K398" s="302"/>
      <c r="L398" s="302"/>
      <c r="M398" s="302"/>
      <c r="N398" s="302"/>
    </row>
    <row r="399" spans="1:14" s="39" customFormat="1" ht="12.75">
      <c r="A399" s="317"/>
      <c r="B399" s="299"/>
      <c r="C399" s="300">
        <v>4140</v>
      </c>
      <c r="D399" s="301" t="s">
        <v>103</v>
      </c>
      <c r="E399" s="302">
        <f t="shared" si="62"/>
        <v>0</v>
      </c>
      <c r="F399" s="302">
        <f t="shared" si="63"/>
        <v>0</v>
      </c>
      <c r="G399" s="302"/>
      <c r="H399" s="302"/>
      <c r="I399" s="302"/>
      <c r="J399" s="302"/>
      <c r="K399" s="302"/>
      <c r="L399" s="302"/>
      <c r="M399" s="302"/>
      <c r="N399" s="302"/>
    </row>
    <row r="400" spans="1:14" s="39" customFormat="1" ht="12.75">
      <c r="A400" s="317"/>
      <c r="B400" s="299"/>
      <c r="C400" s="300">
        <v>4170</v>
      </c>
      <c r="D400" s="301" t="s">
        <v>489</v>
      </c>
      <c r="E400" s="302">
        <f t="shared" si="62"/>
        <v>114200</v>
      </c>
      <c r="F400" s="302">
        <f t="shared" si="63"/>
        <v>114200</v>
      </c>
      <c r="G400" s="302"/>
      <c r="H400" s="302"/>
      <c r="I400" s="302"/>
      <c r="J400" s="302"/>
      <c r="K400" s="302"/>
      <c r="L400" s="302"/>
      <c r="M400" s="302">
        <v>114200</v>
      </c>
      <c r="N400" s="302"/>
    </row>
    <row r="401" spans="1:14" s="39" customFormat="1" ht="25.5">
      <c r="A401" s="317"/>
      <c r="B401" s="299"/>
      <c r="C401" s="300">
        <v>4210</v>
      </c>
      <c r="D401" s="301" t="s">
        <v>379</v>
      </c>
      <c r="E401" s="302">
        <f t="shared" si="62"/>
        <v>1135600</v>
      </c>
      <c r="F401" s="302">
        <f t="shared" si="63"/>
        <v>1135600</v>
      </c>
      <c r="G401" s="302"/>
      <c r="H401" s="302"/>
      <c r="I401" s="302"/>
      <c r="J401" s="302"/>
      <c r="K401" s="302"/>
      <c r="L401" s="302"/>
      <c r="M401" s="302">
        <v>1135600</v>
      </c>
      <c r="N401" s="302"/>
    </row>
    <row r="402" spans="1:14" s="39" customFormat="1" ht="12.75">
      <c r="A402" s="317"/>
      <c r="B402" s="299"/>
      <c r="C402" s="300">
        <v>4220</v>
      </c>
      <c r="D402" s="301" t="s">
        <v>484</v>
      </c>
      <c r="E402" s="302">
        <f t="shared" si="62"/>
        <v>521350</v>
      </c>
      <c r="F402" s="302">
        <f t="shared" si="63"/>
        <v>521350</v>
      </c>
      <c r="G402" s="302"/>
      <c r="H402" s="302"/>
      <c r="I402" s="302"/>
      <c r="J402" s="302"/>
      <c r="K402" s="302"/>
      <c r="L402" s="302"/>
      <c r="M402" s="302">
        <v>521350</v>
      </c>
      <c r="N402" s="302"/>
    </row>
    <row r="403" spans="1:14" s="39" customFormat="1" ht="38.25">
      <c r="A403" s="317"/>
      <c r="B403" s="299"/>
      <c r="C403" s="300">
        <v>4230</v>
      </c>
      <c r="D403" s="301" t="s">
        <v>104</v>
      </c>
      <c r="E403" s="302">
        <f t="shared" si="62"/>
        <v>210380</v>
      </c>
      <c r="F403" s="302">
        <f t="shared" si="63"/>
        <v>210380</v>
      </c>
      <c r="G403" s="302"/>
      <c r="H403" s="302"/>
      <c r="I403" s="302"/>
      <c r="J403" s="302"/>
      <c r="K403" s="302"/>
      <c r="L403" s="302"/>
      <c r="M403" s="302">
        <v>210380</v>
      </c>
      <c r="N403" s="302"/>
    </row>
    <row r="404" spans="1:14" s="39" customFormat="1" ht="12.75">
      <c r="A404" s="317"/>
      <c r="B404" s="299"/>
      <c r="C404" s="300">
        <v>4260</v>
      </c>
      <c r="D404" s="301" t="s">
        <v>380</v>
      </c>
      <c r="E404" s="302">
        <f t="shared" si="62"/>
        <v>258700</v>
      </c>
      <c r="F404" s="302">
        <f t="shared" si="63"/>
        <v>258700</v>
      </c>
      <c r="G404" s="302"/>
      <c r="H404" s="302"/>
      <c r="I404" s="302"/>
      <c r="J404" s="302"/>
      <c r="K404" s="302"/>
      <c r="L404" s="302"/>
      <c r="M404" s="302">
        <v>258700</v>
      </c>
      <c r="N404" s="302"/>
    </row>
    <row r="405" spans="1:14" s="39" customFormat="1" ht="12.75">
      <c r="A405" s="317"/>
      <c r="B405" s="299"/>
      <c r="C405" s="300">
        <v>4270</v>
      </c>
      <c r="D405" s="301" t="s">
        <v>381</v>
      </c>
      <c r="E405" s="302">
        <f t="shared" si="62"/>
        <v>90300</v>
      </c>
      <c r="F405" s="302">
        <f t="shared" si="63"/>
        <v>90300</v>
      </c>
      <c r="G405" s="302"/>
      <c r="H405" s="302"/>
      <c r="I405" s="302"/>
      <c r="J405" s="302"/>
      <c r="K405" s="302"/>
      <c r="L405" s="302"/>
      <c r="M405" s="302">
        <v>90300</v>
      </c>
      <c r="N405" s="302"/>
    </row>
    <row r="406" spans="1:14" s="39" customFormat="1" ht="12.75">
      <c r="A406" s="317"/>
      <c r="B406" s="299"/>
      <c r="C406" s="300">
        <v>4280</v>
      </c>
      <c r="D406" s="301" t="s">
        <v>382</v>
      </c>
      <c r="E406" s="302">
        <f t="shared" si="62"/>
        <v>13220</v>
      </c>
      <c r="F406" s="302">
        <f t="shared" si="63"/>
        <v>13220</v>
      </c>
      <c r="G406" s="302"/>
      <c r="H406" s="302"/>
      <c r="I406" s="302"/>
      <c r="J406" s="302"/>
      <c r="K406" s="302"/>
      <c r="L406" s="302"/>
      <c r="M406" s="302">
        <v>13220</v>
      </c>
      <c r="N406" s="302"/>
    </row>
    <row r="407" spans="1:14" s="39" customFormat="1" ht="12.75">
      <c r="A407" s="317"/>
      <c r="B407" s="299"/>
      <c r="C407" s="300">
        <v>4300</v>
      </c>
      <c r="D407" s="301" t="s">
        <v>362</v>
      </c>
      <c r="E407" s="302">
        <f t="shared" si="62"/>
        <v>933420</v>
      </c>
      <c r="F407" s="302">
        <f t="shared" si="63"/>
        <v>933420</v>
      </c>
      <c r="G407" s="302"/>
      <c r="H407" s="302"/>
      <c r="I407" s="302"/>
      <c r="J407" s="302"/>
      <c r="K407" s="302"/>
      <c r="L407" s="302"/>
      <c r="M407" s="302">
        <v>933420</v>
      </c>
      <c r="N407" s="302"/>
    </row>
    <row r="408" spans="1:14" s="39" customFormat="1" ht="25.5">
      <c r="A408" s="317"/>
      <c r="B408" s="299"/>
      <c r="C408" s="300">
        <v>4350</v>
      </c>
      <c r="D408" s="301" t="s">
        <v>383</v>
      </c>
      <c r="E408" s="302">
        <f t="shared" si="62"/>
        <v>7750</v>
      </c>
      <c r="F408" s="302">
        <f t="shared" si="63"/>
        <v>7750</v>
      </c>
      <c r="G408" s="302"/>
      <c r="H408" s="302"/>
      <c r="I408" s="302"/>
      <c r="J408" s="302"/>
      <c r="K408" s="302"/>
      <c r="L408" s="302"/>
      <c r="M408" s="302">
        <v>7750</v>
      </c>
      <c r="N408" s="302"/>
    </row>
    <row r="409" spans="1:14" s="39" customFormat="1" ht="38.25">
      <c r="A409" s="317"/>
      <c r="B409" s="299"/>
      <c r="C409" s="300">
        <v>4360</v>
      </c>
      <c r="D409" s="301" t="s">
        <v>464</v>
      </c>
      <c r="E409" s="302">
        <f t="shared" si="62"/>
        <v>15110</v>
      </c>
      <c r="F409" s="302">
        <f t="shared" si="63"/>
        <v>15110</v>
      </c>
      <c r="G409" s="302"/>
      <c r="H409" s="302"/>
      <c r="I409" s="302"/>
      <c r="J409" s="302"/>
      <c r="K409" s="302"/>
      <c r="L409" s="302"/>
      <c r="M409" s="302">
        <v>15110</v>
      </c>
      <c r="N409" s="302"/>
    </row>
    <row r="410" spans="1:14" s="39" customFormat="1" ht="48" customHeight="1">
      <c r="A410" s="317"/>
      <c r="B410" s="299"/>
      <c r="C410" s="300">
        <v>4370</v>
      </c>
      <c r="D410" s="301" t="s">
        <v>457</v>
      </c>
      <c r="E410" s="302">
        <f t="shared" si="62"/>
        <v>36950</v>
      </c>
      <c r="F410" s="302">
        <f t="shared" si="63"/>
        <v>36950</v>
      </c>
      <c r="G410" s="302"/>
      <c r="H410" s="302"/>
      <c r="I410" s="302"/>
      <c r="J410" s="302"/>
      <c r="K410" s="302"/>
      <c r="L410" s="302"/>
      <c r="M410" s="302">
        <v>36950</v>
      </c>
      <c r="N410" s="302"/>
    </row>
    <row r="411" spans="1:14" s="39" customFormat="1" ht="12.75">
      <c r="A411" s="317"/>
      <c r="B411" s="299"/>
      <c r="C411" s="300">
        <v>4410</v>
      </c>
      <c r="D411" s="301" t="s">
        <v>388</v>
      </c>
      <c r="E411" s="302">
        <f t="shared" si="62"/>
        <v>9760</v>
      </c>
      <c r="F411" s="302">
        <f t="shared" si="63"/>
        <v>9760</v>
      </c>
      <c r="G411" s="302"/>
      <c r="H411" s="302"/>
      <c r="I411" s="302"/>
      <c r="J411" s="302"/>
      <c r="K411" s="302"/>
      <c r="L411" s="302"/>
      <c r="M411" s="302">
        <v>9760</v>
      </c>
      <c r="N411" s="302"/>
    </row>
    <row r="412" spans="1:14" s="39" customFormat="1" ht="12.75">
      <c r="A412" s="317"/>
      <c r="B412" s="299"/>
      <c r="C412" s="300">
        <v>4430</v>
      </c>
      <c r="D412" s="301" t="s">
        <v>389</v>
      </c>
      <c r="E412" s="302">
        <f t="shared" si="62"/>
        <v>29430</v>
      </c>
      <c r="F412" s="302">
        <f t="shared" si="63"/>
        <v>29430</v>
      </c>
      <c r="G412" s="302"/>
      <c r="H412" s="302"/>
      <c r="I412" s="302"/>
      <c r="J412" s="302"/>
      <c r="K412" s="302"/>
      <c r="L412" s="302"/>
      <c r="M412" s="302">
        <v>29430</v>
      </c>
      <c r="N412" s="302"/>
    </row>
    <row r="413" spans="1:14" s="39" customFormat="1" ht="25.5">
      <c r="A413" s="317"/>
      <c r="B413" s="299"/>
      <c r="C413" s="300">
        <v>4440</v>
      </c>
      <c r="D413" s="301" t="s">
        <v>390</v>
      </c>
      <c r="E413" s="302">
        <f t="shared" si="62"/>
        <v>206050</v>
      </c>
      <c r="F413" s="302">
        <f t="shared" si="63"/>
        <v>206050</v>
      </c>
      <c r="G413" s="302"/>
      <c r="H413" s="302"/>
      <c r="I413" s="302"/>
      <c r="J413" s="302"/>
      <c r="K413" s="302"/>
      <c r="L413" s="302"/>
      <c r="M413" s="302">
        <v>206050</v>
      </c>
      <c r="N413" s="302"/>
    </row>
    <row r="414" spans="1:14" s="39" customFormat="1" ht="21" customHeight="1">
      <c r="A414" s="317"/>
      <c r="B414" s="299"/>
      <c r="C414" s="300">
        <v>4480</v>
      </c>
      <c r="D414" s="301" t="s">
        <v>391</v>
      </c>
      <c r="E414" s="302">
        <f t="shared" si="62"/>
        <v>31070</v>
      </c>
      <c r="F414" s="302">
        <f t="shared" si="63"/>
        <v>31070</v>
      </c>
      <c r="G414" s="302"/>
      <c r="H414" s="302"/>
      <c r="I414" s="302"/>
      <c r="J414" s="302"/>
      <c r="K414" s="302"/>
      <c r="L414" s="302"/>
      <c r="M414" s="302">
        <v>31070</v>
      </c>
      <c r="N414" s="302"/>
    </row>
    <row r="415" spans="1:14" s="39" customFormat="1" ht="47.25" customHeight="1">
      <c r="A415" s="317"/>
      <c r="B415" s="299"/>
      <c r="C415" s="300">
        <v>4520</v>
      </c>
      <c r="D415" s="301" t="s">
        <v>490</v>
      </c>
      <c r="E415" s="302">
        <f t="shared" si="62"/>
        <v>4600</v>
      </c>
      <c r="F415" s="302">
        <f t="shared" si="63"/>
        <v>4600</v>
      </c>
      <c r="G415" s="302"/>
      <c r="H415" s="302"/>
      <c r="I415" s="302"/>
      <c r="J415" s="302"/>
      <c r="K415" s="302"/>
      <c r="L415" s="302"/>
      <c r="M415" s="302">
        <v>4600</v>
      </c>
      <c r="N415" s="302"/>
    </row>
    <row r="416" spans="1:14" s="39" customFormat="1" ht="48" customHeight="1">
      <c r="A416" s="317"/>
      <c r="B416" s="299"/>
      <c r="C416" s="300">
        <v>4700</v>
      </c>
      <c r="D416" s="301" t="s">
        <v>606</v>
      </c>
      <c r="E416" s="302">
        <f t="shared" si="62"/>
        <v>14590</v>
      </c>
      <c r="F416" s="302">
        <f t="shared" si="63"/>
        <v>14590</v>
      </c>
      <c r="G416" s="302"/>
      <c r="H416" s="302"/>
      <c r="I416" s="302"/>
      <c r="J416" s="302"/>
      <c r="K416" s="302"/>
      <c r="L416" s="302"/>
      <c r="M416" s="302">
        <v>14590</v>
      </c>
      <c r="N416" s="302"/>
    </row>
    <row r="417" spans="1:14" s="39" customFormat="1" ht="51">
      <c r="A417" s="317"/>
      <c r="B417" s="299"/>
      <c r="C417" s="300">
        <v>4740</v>
      </c>
      <c r="D417" s="301" t="s">
        <v>416</v>
      </c>
      <c r="E417" s="302">
        <f t="shared" si="62"/>
        <v>7270</v>
      </c>
      <c r="F417" s="302">
        <f t="shared" si="63"/>
        <v>7270</v>
      </c>
      <c r="G417" s="302"/>
      <c r="H417" s="302"/>
      <c r="I417" s="302"/>
      <c r="J417" s="302"/>
      <c r="K417" s="302"/>
      <c r="L417" s="302"/>
      <c r="M417" s="302">
        <v>7270</v>
      </c>
      <c r="N417" s="302"/>
    </row>
    <row r="418" spans="1:14" s="39" customFormat="1" ht="38.25">
      <c r="A418" s="317"/>
      <c r="B418" s="299"/>
      <c r="C418" s="300">
        <v>4750</v>
      </c>
      <c r="D418" s="301" t="s">
        <v>458</v>
      </c>
      <c r="E418" s="302">
        <f t="shared" si="62"/>
        <v>8770</v>
      </c>
      <c r="F418" s="302">
        <f t="shared" si="63"/>
        <v>8770</v>
      </c>
      <c r="G418" s="302"/>
      <c r="H418" s="302"/>
      <c r="I418" s="302"/>
      <c r="J418" s="302"/>
      <c r="K418" s="302"/>
      <c r="L418" s="302"/>
      <c r="M418" s="302">
        <v>8770</v>
      </c>
      <c r="N418" s="302"/>
    </row>
    <row r="419" spans="1:14" s="39" customFormat="1" ht="37.5" customHeight="1">
      <c r="A419" s="290"/>
      <c r="B419" s="290"/>
      <c r="C419" s="300">
        <v>6050</v>
      </c>
      <c r="D419" s="308" t="s">
        <v>122</v>
      </c>
      <c r="E419" s="302">
        <f t="shared" si="62"/>
        <v>50000</v>
      </c>
      <c r="F419" s="302">
        <f t="shared" si="63"/>
        <v>0</v>
      </c>
      <c r="G419" s="302"/>
      <c r="H419" s="302"/>
      <c r="I419" s="302"/>
      <c r="J419" s="302"/>
      <c r="K419" s="302"/>
      <c r="L419" s="302"/>
      <c r="M419" s="302"/>
      <c r="N419" s="302">
        <v>50000</v>
      </c>
    </row>
    <row r="420" spans="1:14" s="39" customFormat="1" ht="15" customHeight="1" hidden="1">
      <c r="A420" s="290"/>
      <c r="B420" s="290"/>
      <c r="C420" s="300">
        <v>6060</v>
      </c>
      <c r="D420" s="308" t="s">
        <v>608</v>
      </c>
      <c r="E420" s="302">
        <f t="shared" si="62"/>
        <v>0</v>
      </c>
      <c r="F420" s="302">
        <f t="shared" si="63"/>
        <v>0</v>
      </c>
      <c r="G420" s="302"/>
      <c r="H420" s="302"/>
      <c r="I420" s="302"/>
      <c r="J420" s="302"/>
      <c r="K420" s="302"/>
      <c r="L420" s="302"/>
      <c r="M420" s="302"/>
      <c r="N420" s="302"/>
    </row>
    <row r="421" spans="1:14" s="62" customFormat="1" ht="12.75">
      <c r="A421" s="316"/>
      <c r="B421" s="295">
        <v>85203</v>
      </c>
      <c r="C421" s="296"/>
      <c r="D421" s="306" t="s">
        <v>491</v>
      </c>
      <c r="E421" s="298">
        <f t="shared" si="62"/>
        <v>750000</v>
      </c>
      <c r="F421" s="298">
        <f t="shared" si="63"/>
        <v>750000</v>
      </c>
      <c r="G421" s="298">
        <f aca="true" t="shared" si="65" ref="G421:N421">SUM(G422:G444)</f>
        <v>398400</v>
      </c>
      <c r="H421" s="298">
        <f t="shared" si="65"/>
        <v>31602</v>
      </c>
      <c r="I421" s="298">
        <f t="shared" si="65"/>
        <v>78390</v>
      </c>
      <c r="J421" s="298">
        <f t="shared" si="65"/>
        <v>0</v>
      </c>
      <c r="K421" s="298">
        <f t="shared" si="65"/>
        <v>0</v>
      </c>
      <c r="L421" s="298">
        <f t="shared" si="65"/>
        <v>0</v>
      </c>
      <c r="M421" s="298">
        <f t="shared" si="65"/>
        <v>241608</v>
      </c>
      <c r="N421" s="298">
        <f t="shared" si="65"/>
        <v>0</v>
      </c>
    </row>
    <row r="422" spans="1:14" s="39" customFormat="1" ht="25.5">
      <c r="A422" s="317"/>
      <c r="B422" s="299"/>
      <c r="C422" s="300">
        <v>3020</v>
      </c>
      <c r="D422" s="301" t="s">
        <v>488</v>
      </c>
      <c r="E422" s="302">
        <f t="shared" si="62"/>
        <v>810</v>
      </c>
      <c r="F422" s="302">
        <f t="shared" si="63"/>
        <v>810</v>
      </c>
      <c r="G422" s="302"/>
      <c r="H422" s="302"/>
      <c r="I422" s="302"/>
      <c r="J422" s="302"/>
      <c r="K422" s="302"/>
      <c r="L422" s="302"/>
      <c r="M422" s="302">
        <v>810</v>
      </c>
      <c r="N422" s="302"/>
    </row>
    <row r="423" spans="1:14" s="39" customFormat="1" ht="25.5">
      <c r="A423" s="317"/>
      <c r="B423" s="299"/>
      <c r="C423" s="300">
        <v>4010</v>
      </c>
      <c r="D423" s="301" t="s">
        <v>374</v>
      </c>
      <c r="E423" s="302">
        <f t="shared" si="62"/>
        <v>398400</v>
      </c>
      <c r="F423" s="302">
        <f t="shared" si="63"/>
        <v>398400</v>
      </c>
      <c r="G423" s="302">
        <v>398400</v>
      </c>
      <c r="H423" s="302"/>
      <c r="I423" s="302"/>
      <c r="J423" s="302"/>
      <c r="K423" s="302"/>
      <c r="L423" s="302"/>
      <c r="M423" s="302"/>
      <c r="N423" s="302"/>
    </row>
    <row r="424" spans="1:14" s="39" customFormat="1" ht="25.5">
      <c r="A424" s="317"/>
      <c r="B424" s="299"/>
      <c r="C424" s="300">
        <v>4040</v>
      </c>
      <c r="D424" s="301" t="s">
        <v>375</v>
      </c>
      <c r="E424" s="302">
        <f t="shared" si="62"/>
        <v>31602</v>
      </c>
      <c r="F424" s="302">
        <f t="shared" si="63"/>
        <v>31602</v>
      </c>
      <c r="G424" s="302"/>
      <c r="H424" s="302">
        <v>31602</v>
      </c>
      <c r="I424" s="302"/>
      <c r="J424" s="302"/>
      <c r="K424" s="302"/>
      <c r="L424" s="302"/>
      <c r="M424" s="302"/>
      <c r="N424" s="302"/>
    </row>
    <row r="425" spans="1:14" s="39" customFormat="1" ht="25.5">
      <c r="A425" s="317"/>
      <c r="B425" s="299"/>
      <c r="C425" s="300">
        <v>4110</v>
      </c>
      <c r="D425" s="301" t="s">
        <v>376</v>
      </c>
      <c r="E425" s="302">
        <f t="shared" si="62"/>
        <v>67870</v>
      </c>
      <c r="F425" s="302">
        <f t="shared" si="63"/>
        <v>67870</v>
      </c>
      <c r="G425" s="302"/>
      <c r="H425" s="302"/>
      <c r="I425" s="302">
        <v>67870</v>
      </c>
      <c r="J425" s="302"/>
      <c r="K425" s="302"/>
      <c r="L425" s="302"/>
      <c r="M425" s="302"/>
      <c r="N425" s="302"/>
    </row>
    <row r="426" spans="1:14" s="39" customFormat="1" ht="12.75">
      <c r="A426" s="317"/>
      <c r="B426" s="299"/>
      <c r="C426" s="300">
        <v>4120</v>
      </c>
      <c r="D426" s="301" t="s">
        <v>377</v>
      </c>
      <c r="E426" s="302">
        <f t="shared" si="62"/>
        <v>10520</v>
      </c>
      <c r="F426" s="302">
        <f t="shared" si="63"/>
        <v>10520</v>
      </c>
      <c r="G426" s="302"/>
      <c r="H426" s="302"/>
      <c r="I426" s="302">
        <v>10520</v>
      </c>
      <c r="J426" s="302"/>
      <c r="K426" s="302"/>
      <c r="L426" s="302"/>
      <c r="M426" s="302"/>
      <c r="N426" s="302"/>
    </row>
    <row r="427" spans="1:14" s="39" customFormat="1" ht="31.5" customHeight="1">
      <c r="A427" s="317"/>
      <c r="B427" s="299"/>
      <c r="C427" s="300">
        <v>4170</v>
      </c>
      <c r="D427" s="301" t="s">
        <v>489</v>
      </c>
      <c r="E427" s="302">
        <f t="shared" si="62"/>
        <v>8700</v>
      </c>
      <c r="F427" s="302">
        <f t="shared" si="63"/>
        <v>8700</v>
      </c>
      <c r="G427" s="302"/>
      <c r="H427" s="302"/>
      <c r="I427" s="302"/>
      <c r="J427" s="302"/>
      <c r="K427" s="302"/>
      <c r="L427" s="302"/>
      <c r="M427" s="302">
        <v>8700</v>
      </c>
      <c r="N427" s="302"/>
    </row>
    <row r="428" spans="1:14" s="39" customFormat="1" ht="32.25" customHeight="1">
      <c r="A428" s="317"/>
      <c r="B428" s="299"/>
      <c r="C428" s="300">
        <v>4210</v>
      </c>
      <c r="D428" s="301" t="s">
        <v>379</v>
      </c>
      <c r="E428" s="302">
        <f t="shared" si="62"/>
        <v>114008</v>
      </c>
      <c r="F428" s="302">
        <f t="shared" si="63"/>
        <v>114008</v>
      </c>
      <c r="G428" s="302"/>
      <c r="H428" s="302"/>
      <c r="I428" s="302"/>
      <c r="J428" s="302"/>
      <c r="K428" s="302"/>
      <c r="L428" s="302"/>
      <c r="M428" s="302">
        <v>114008</v>
      </c>
      <c r="N428" s="302"/>
    </row>
    <row r="429" spans="1:14" s="39" customFormat="1" ht="30" customHeight="1">
      <c r="A429" s="317"/>
      <c r="B429" s="299"/>
      <c r="C429" s="300">
        <v>4220</v>
      </c>
      <c r="D429" s="301" t="s">
        <v>484</v>
      </c>
      <c r="E429" s="302">
        <f t="shared" si="62"/>
        <v>19800</v>
      </c>
      <c r="F429" s="302">
        <f t="shared" si="63"/>
        <v>19800</v>
      </c>
      <c r="G429" s="302"/>
      <c r="H429" s="302"/>
      <c r="I429" s="302"/>
      <c r="J429" s="302"/>
      <c r="K429" s="302"/>
      <c r="L429" s="302"/>
      <c r="M429" s="302">
        <v>19800</v>
      </c>
      <c r="N429" s="302"/>
    </row>
    <row r="430" spans="1:14" s="39" customFormat="1" ht="25.5">
      <c r="A430" s="317"/>
      <c r="B430" s="299"/>
      <c r="C430" s="300">
        <v>4230</v>
      </c>
      <c r="D430" s="301" t="s">
        <v>485</v>
      </c>
      <c r="E430" s="302">
        <f t="shared" si="62"/>
        <v>100</v>
      </c>
      <c r="F430" s="302">
        <f t="shared" si="63"/>
        <v>100</v>
      </c>
      <c r="G430" s="302"/>
      <c r="H430" s="302"/>
      <c r="I430" s="302"/>
      <c r="J430" s="302"/>
      <c r="K430" s="302"/>
      <c r="L430" s="302"/>
      <c r="M430" s="302">
        <v>100</v>
      </c>
      <c r="N430" s="302"/>
    </row>
    <row r="431" spans="1:14" s="39" customFormat="1" ht="12.75">
      <c r="A431" s="317"/>
      <c r="B431" s="299"/>
      <c r="C431" s="300">
        <v>4260</v>
      </c>
      <c r="D431" s="301" t="s">
        <v>380</v>
      </c>
      <c r="E431" s="302">
        <f t="shared" si="62"/>
        <v>11400</v>
      </c>
      <c r="F431" s="302">
        <f t="shared" si="63"/>
        <v>11400</v>
      </c>
      <c r="G431" s="302"/>
      <c r="H431" s="302"/>
      <c r="I431" s="302"/>
      <c r="J431" s="302"/>
      <c r="K431" s="302"/>
      <c r="L431" s="302"/>
      <c r="M431" s="302">
        <v>11400</v>
      </c>
      <c r="N431" s="302"/>
    </row>
    <row r="432" spans="1:14" s="39" customFormat="1" ht="12.75">
      <c r="A432" s="317"/>
      <c r="B432" s="299"/>
      <c r="C432" s="300">
        <v>4270</v>
      </c>
      <c r="D432" s="301" t="s">
        <v>381</v>
      </c>
      <c r="E432" s="302">
        <f t="shared" si="62"/>
        <v>7400</v>
      </c>
      <c r="F432" s="302">
        <f t="shared" si="63"/>
        <v>7400</v>
      </c>
      <c r="G432" s="302"/>
      <c r="H432" s="302"/>
      <c r="I432" s="302"/>
      <c r="J432" s="302"/>
      <c r="K432" s="302"/>
      <c r="L432" s="302"/>
      <c r="M432" s="302">
        <v>7400</v>
      </c>
      <c r="N432" s="302"/>
    </row>
    <row r="433" spans="1:14" s="39" customFormat="1" ht="12.75">
      <c r="A433" s="317"/>
      <c r="B433" s="299"/>
      <c r="C433" s="300">
        <v>4280</v>
      </c>
      <c r="D433" s="301" t="s">
        <v>382</v>
      </c>
      <c r="E433" s="302">
        <f t="shared" si="62"/>
        <v>1200</v>
      </c>
      <c r="F433" s="302">
        <f t="shared" si="63"/>
        <v>1200</v>
      </c>
      <c r="G433" s="302"/>
      <c r="H433" s="302"/>
      <c r="I433" s="302"/>
      <c r="J433" s="302"/>
      <c r="K433" s="302"/>
      <c r="L433" s="302"/>
      <c r="M433" s="302">
        <v>1200</v>
      </c>
      <c r="N433" s="302"/>
    </row>
    <row r="434" spans="1:14" s="39" customFormat="1" ht="12.75">
      <c r="A434" s="317"/>
      <c r="B434" s="299"/>
      <c r="C434" s="300">
        <v>4300</v>
      </c>
      <c r="D434" s="301" t="s">
        <v>362</v>
      </c>
      <c r="E434" s="302">
        <f t="shared" si="62"/>
        <v>39915</v>
      </c>
      <c r="F434" s="302">
        <f t="shared" si="63"/>
        <v>39915</v>
      </c>
      <c r="G434" s="302"/>
      <c r="H434" s="302"/>
      <c r="I434" s="302"/>
      <c r="J434" s="302"/>
      <c r="K434" s="302"/>
      <c r="L434" s="302"/>
      <c r="M434" s="302">
        <v>39915</v>
      </c>
      <c r="N434" s="302"/>
    </row>
    <row r="435" spans="1:14" s="39" customFormat="1" ht="43.5" customHeight="1">
      <c r="A435" s="317"/>
      <c r="B435" s="299"/>
      <c r="C435" s="300">
        <v>4360</v>
      </c>
      <c r="D435" s="301" t="s">
        <v>464</v>
      </c>
      <c r="E435" s="302">
        <f t="shared" si="62"/>
        <v>500</v>
      </c>
      <c r="F435" s="302">
        <f t="shared" si="63"/>
        <v>500</v>
      </c>
      <c r="G435" s="302"/>
      <c r="H435" s="302"/>
      <c r="I435" s="302"/>
      <c r="J435" s="302"/>
      <c r="K435" s="302"/>
      <c r="L435" s="302"/>
      <c r="M435" s="302">
        <v>500</v>
      </c>
      <c r="N435" s="302"/>
    </row>
    <row r="436" spans="1:14" s="39" customFormat="1" ht="48" customHeight="1">
      <c r="A436" s="317"/>
      <c r="B436" s="299"/>
      <c r="C436" s="300">
        <v>4370</v>
      </c>
      <c r="D436" s="301" t="s">
        <v>457</v>
      </c>
      <c r="E436" s="302">
        <f t="shared" si="62"/>
        <v>2800</v>
      </c>
      <c r="F436" s="302">
        <f t="shared" si="63"/>
        <v>2800</v>
      </c>
      <c r="G436" s="302"/>
      <c r="H436" s="302"/>
      <c r="I436" s="302"/>
      <c r="J436" s="302"/>
      <c r="K436" s="302"/>
      <c r="L436" s="302"/>
      <c r="M436" s="302">
        <v>2800</v>
      </c>
      <c r="N436" s="302"/>
    </row>
    <row r="437" spans="1:14" s="39" customFormat="1" ht="24" customHeight="1">
      <c r="A437" s="317"/>
      <c r="B437" s="299"/>
      <c r="C437" s="300">
        <v>4410</v>
      </c>
      <c r="D437" s="301" t="s">
        <v>388</v>
      </c>
      <c r="E437" s="302">
        <f t="shared" si="62"/>
        <v>300</v>
      </c>
      <c r="F437" s="302">
        <f t="shared" si="63"/>
        <v>300</v>
      </c>
      <c r="G437" s="302"/>
      <c r="H437" s="302"/>
      <c r="I437" s="302"/>
      <c r="J437" s="302"/>
      <c r="K437" s="302"/>
      <c r="L437" s="302"/>
      <c r="M437" s="302">
        <v>300</v>
      </c>
      <c r="N437" s="302"/>
    </row>
    <row r="438" spans="1:14" s="39" customFormat="1" ht="21.75" customHeight="1">
      <c r="A438" s="317"/>
      <c r="B438" s="299"/>
      <c r="C438" s="300">
        <v>4430</v>
      </c>
      <c r="D438" s="301" t="s">
        <v>389</v>
      </c>
      <c r="E438" s="302">
        <f t="shared" si="62"/>
        <v>10785</v>
      </c>
      <c r="F438" s="302">
        <f t="shared" si="63"/>
        <v>10785</v>
      </c>
      <c r="G438" s="302"/>
      <c r="H438" s="302"/>
      <c r="I438" s="302"/>
      <c r="J438" s="302"/>
      <c r="K438" s="302"/>
      <c r="L438" s="302"/>
      <c r="M438" s="302">
        <v>10785</v>
      </c>
      <c r="N438" s="302"/>
    </row>
    <row r="439" spans="1:14" s="39" customFormat="1" ht="45.75" customHeight="1">
      <c r="A439" s="317"/>
      <c r="B439" s="299"/>
      <c r="C439" s="300">
        <v>4440</v>
      </c>
      <c r="D439" s="301" t="s">
        <v>390</v>
      </c>
      <c r="E439" s="302">
        <f t="shared" si="62"/>
        <v>15980</v>
      </c>
      <c r="F439" s="302">
        <f t="shared" si="63"/>
        <v>15980</v>
      </c>
      <c r="G439" s="302"/>
      <c r="H439" s="302"/>
      <c r="I439" s="302"/>
      <c r="J439" s="302"/>
      <c r="K439" s="302"/>
      <c r="L439" s="302"/>
      <c r="M439" s="302">
        <v>15980</v>
      </c>
      <c r="N439" s="302"/>
    </row>
    <row r="440" spans="1:14" s="39" customFormat="1" ht="12.75">
      <c r="A440" s="317"/>
      <c r="B440" s="299"/>
      <c r="C440" s="300">
        <v>4480</v>
      </c>
      <c r="D440" s="301" t="s">
        <v>391</v>
      </c>
      <c r="E440" s="302">
        <f t="shared" si="62"/>
        <v>2700</v>
      </c>
      <c r="F440" s="302">
        <f t="shared" si="63"/>
        <v>2700</v>
      </c>
      <c r="G440" s="302"/>
      <c r="H440" s="302"/>
      <c r="I440" s="302"/>
      <c r="J440" s="302"/>
      <c r="K440" s="302"/>
      <c r="L440" s="302"/>
      <c r="M440" s="302">
        <v>2700</v>
      </c>
      <c r="N440" s="302"/>
    </row>
    <row r="441" spans="1:14" s="39" customFormat="1" ht="37.5" customHeight="1">
      <c r="A441" s="317"/>
      <c r="B441" s="299"/>
      <c r="C441" s="300">
        <v>4520</v>
      </c>
      <c r="D441" s="301" t="s">
        <v>105</v>
      </c>
      <c r="E441" s="302">
        <f t="shared" si="62"/>
        <v>710</v>
      </c>
      <c r="F441" s="302">
        <f t="shared" si="63"/>
        <v>710</v>
      </c>
      <c r="G441" s="302"/>
      <c r="H441" s="302"/>
      <c r="I441" s="302"/>
      <c r="J441" s="302"/>
      <c r="K441" s="302"/>
      <c r="L441" s="302"/>
      <c r="M441" s="302">
        <v>710</v>
      </c>
      <c r="N441" s="302"/>
    </row>
    <row r="442" spans="1:14" s="39" customFormat="1" ht="48" customHeight="1">
      <c r="A442" s="317"/>
      <c r="B442" s="299"/>
      <c r="C442" s="300">
        <v>4700</v>
      </c>
      <c r="D442" s="301" t="s">
        <v>606</v>
      </c>
      <c r="E442" s="302">
        <f t="shared" si="62"/>
        <v>3200</v>
      </c>
      <c r="F442" s="302">
        <f t="shared" si="63"/>
        <v>3200</v>
      </c>
      <c r="G442" s="302"/>
      <c r="H442" s="302"/>
      <c r="I442" s="302"/>
      <c r="J442" s="302"/>
      <c r="K442" s="302"/>
      <c r="L442" s="302"/>
      <c r="M442" s="302">
        <v>3200</v>
      </c>
      <c r="N442" s="302"/>
    </row>
    <row r="443" spans="1:14" s="39" customFormat="1" ht="60.75" customHeight="1">
      <c r="A443" s="317"/>
      <c r="B443" s="299"/>
      <c r="C443" s="300">
        <v>4740</v>
      </c>
      <c r="D443" s="301" t="s">
        <v>416</v>
      </c>
      <c r="E443" s="302">
        <f t="shared" si="62"/>
        <v>1000</v>
      </c>
      <c r="F443" s="302">
        <f t="shared" si="63"/>
        <v>1000</v>
      </c>
      <c r="G443" s="302"/>
      <c r="H443" s="302"/>
      <c r="I443" s="302"/>
      <c r="J443" s="302"/>
      <c r="K443" s="302"/>
      <c r="L443" s="302"/>
      <c r="M443" s="302">
        <v>1000</v>
      </c>
      <c r="N443" s="302"/>
    </row>
    <row r="444" spans="1:14" s="39" customFormat="1" ht="50.25" customHeight="1">
      <c r="A444" s="317"/>
      <c r="B444" s="299"/>
      <c r="C444" s="300">
        <v>4750</v>
      </c>
      <c r="D444" s="301" t="s">
        <v>458</v>
      </c>
      <c r="E444" s="302">
        <f t="shared" si="62"/>
        <v>300</v>
      </c>
      <c r="F444" s="302">
        <f t="shared" si="63"/>
        <v>300</v>
      </c>
      <c r="G444" s="302"/>
      <c r="H444" s="302"/>
      <c r="I444" s="302"/>
      <c r="J444" s="302"/>
      <c r="K444" s="302"/>
      <c r="L444" s="302"/>
      <c r="M444" s="302">
        <v>300</v>
      </c>
      <c r="N444" s="302"/>
    </row>
    <row r="445" spans="1:14" s="62" customFormat="1" ht="12.75">
      <c r="A445" s="316"/>
      <c r="B445" s="295">
        <v>85204</v>
      </c>
      <c r="C445" s="296"/>
      <c r="D445" s="306" t="s">
        <v>492</v>
      </c>
      <c r="E445" s="298">
        <f aca="true" t="shared" si="66" ref="E445:E456">F445+N445</f>
        <v>2329580</v>
      </c>
      <c r="F445" s="298">
        <f aca="true" t="shared" si="67" ref="F445:F456">SUM(G445:M445)</f>
        <v>2329580</v>
      </c>
      <c r="G445" s="298">
        <f aca="true" t="shared" si="68" ref="G445:N445">SUM(G446:G450)</f>
        <v>0</v>
      </c>
      <c r="H445" s="298">
        <f t="shared" si="68"/>
        <v>0</v>
      </c>
      <c r="I445" s="298">
        <f t="shared" si="68"/>
        <v>0</v>
      </c>
      <c r="J445" s="298">
        <f t="shared" si="68"/>
        <v>127300</v>
      </c>
      <c r="K445" s="298">
        <f t="shared" si="68"/>
        <v>0</v>
      </c>
      <c r="L445" s="298">
        <f t="shared" si="68"/>
        <v>0</v>
      </c>
      <c r="M445" s="298">
        <f>SUM(M446:M450)</f>
        <v>2202280</v>
      </c>
      <c r="N445" s="298">
        <f t="shared" si="68"/>
        <v>0</v>
      </c>
    </row>
    <row r="446" spans="1:14" s="39" customFormat="1" ht="76.5">
      <c r="A446" s="317"/>
      <c r="B446" s="299"/>
      <c r="C446" s="300">
        <v>2320</v>
      </c>
      <c r="D446" s="301" t="s">
        <v>482</v>
      </c>
      <c r="E446" s="302">
        <f t="shared" si="66"/>
        <v>127300</v>
      </c>
      <c r="F446" s="302">
        <f t="shared" si="67"/>
        <v>127300</v>
      </c>
      <c r="G446" s="302"/>
      <c r="H446" s="302"/>
      <c r="I446" s="302"/>
      <c r="J446" s="302">
        <v>127300</v>
      </c>
      <c r="K446" s="302"/>
      <c r="L446" s="302"/>
      <c r="M446" s="302"/>
      <c r="N446" s="302"/>
    </row>
    <row r="447" spans="1:14" s="39" customFormat="1" ht="12.75">
      <c r="A447" s="317"/>
      <c r="B447" s="299"/>
      <c r="C447" s="300">
        <v>3110</v>
      </c>
      <c r="D447" s="301" t="s">
        <v>483</v>
      </c>
      <c r="E447" s="302">
        <f t="shared" si="66"/>
        <v>1945500</v>
      </c>
      <c r="F447" s="302">
        <f t="shared" si="67"/>
        <v>1945500</v>
      </c>
      <c r="G447" s="302"/>
      <c r="H447" s="302"/>
      <c r="I447" s="302"/>
      <c r="J447" s="302"/>
      <c r="K447" s="302"/>
      <c r="L447" s="302"/>
      <c r="M447" s="302">
        <v>1945500</v>
      </c>
      <c r="N447" s="302"/>
    </row>
    <row r="448" spans="1:14" s="39" customFormat="1" ht="25.5" customHeight="1">
      <c r="A448" s="317"/>
      <c r="B448" s="299"/>
      <c r="C448" s="300">
        <v>4170</v>
      </c>
      <c r="D448" s="301" t="s">
        <v>378</v>
      </c>
      <c r="E448" s="302">
        <f t="shared" si="66"/>
        <v>220580</v>
      </c>
      <c r="F448" s="302">
        <f t="shared" si="67"/>
        <v>220580</v>
      </c>
      <c r="G448" s="302"/>
      <c r="H448" s="302"/>
      <c r="I448" s="302"/>
      <c r="J448" s="302"/>
      <c r="K448" s="302"/>
      <c r="L448" s="302"/>
      <c r="M448" s="302">
        <v>220580</v>
      </c>
      <c r="N448" s="302"/>
    </row>
    <row r="449" spans="1:14" s="39" customFormat="1" ht="32.25" customHeight="1">
      <c r="A449" s="317"/>
      <c r="B449" s="299"/>
      <c r="C449" s="300">
        <v>4110</v>
      </c>
      <c r="D449" s="301" t="s">
        <v>453</v>
      </c>
      <c r="E449" s="302">
        <f t="shared" si="66"/>
        <v>30900</v>
      </c>
      <c r="F449" s="302">
        <f t="shared" si="67"/>
        <v>30900</v>
      </c>
      <c r="G449" s="302"/>
      <c r="H449" s="302"/>
      <c r="I449" s="302"/>
      <c r="J449" s="302"/>
      <c r="K449" s="302"/>
      <c r="L449" s="302"/>
      <c r="M449" s="302">
        <v>30900</v>
      </c>
      <c r="N449" s="302"/>
    </row>
    <row r="450" spans="1:14" s="39" customFormat="1" ht="19.5" customHeight="1">
      <c r="A450" s="317"/>
      <c r="B450" s="299"/>
      <c r="C450" s="300">
        <v>4120</v>
      </c>
      <c r="D450" s="301" t="s">
        <v>377</v>
      </c>
      <c r="E450" s="302">
        <f t="shared" si="66"/>
        <v>5300</v>
      </c>
      <c r="F450" s="302">
        <f t="shared" si="67"/>
        <v>5300</v>
      </c>
      <c r="G450" s="302"/>
      <c r="H450" s="302"/>
      <c r="I450" s="302"/>
      <c r="J450" s="302"/>
      <c r="K450" s="302"/>
      <c r="L450" s="302"/>
      <c r="M450" s="302">
        <v>5300</v>
      </c>
      <c r="N450" s="302"/>
    </row>
    <row r="451" spans="1:14" s="62" customFormat="1" ht="25.5">
      <c r="A451" s="316"/>
      <c r="B451" s="295">
        <v>85218</v>
      </c>
      <c r="C451" s="296"/>
      <c r="D451" s="306" t="s">
        <v>493</v>
      </c>
      <c r="E451" s="298">
        <f t="shared" si="66"/>
        <v>620890</v>
      </c>
      <c r="F451" s="298">
        <f t="shared" si="67"/>
        <v>601370</v>
      </c>
      <c r="G451" s="298">
        <f aca="true" t="shared" si="69" ref="G451:N451">SUM(G452:G475)</f>
        <v>378900</v>
      </c>
      <c r="H451" s="298">
        <f t="shared" si="69"/>
        <v>21500</v>
      </c>
      <c r="I451" s="298">
        <f t="shared" si="69"/>
        <v>70400</v>
      </c>
      <c r="J451" s="298">
        <f t="shared" si="69"/>
        <v>0</v>
      </c>
      <c r="K451" s="298">
        <f t="shared" si="69"/>
        <v>0</v>
      </c>
      <c r="L451" s="298">
        <f t="shared" si="69"/>
        <v>0</v>
      </c>
      <c r="M451" s="298">
        <f t="shared" si="69"/>
        <v>130570</v>
      </c>
      <c r="N451" s="298">
        <f t="shared" si="69"/>
        <v>19520</v>
      </c>
    </row>
    <row r="452" spans="1:14" s="39" customFormat="1" ht="25.5">
      <c r="A452" s="317"/>
      <c r="B452" s="299"/>
      <c r="C452" s="300">
        <v>3020</v>
      </c>
      <c r="D452" s="301" t="s">
        <v>607</v>
      </c>
      <c r="E452" s="302">
        <f t="shared" si="66"/>
        <v>1000</v>
      </c>
      <c r="F452" s="302">
        <f t="shared" si="67"/>
        <v>1000</v>
      </c>
      <c r="G452" s="302"/>
      <c r="H452" s="302"/>
      <c r="I452" s="302"/>
      <c r="J452" s="302"/>
      <c r="K452" s="302"/>
      <c r="L452" s="302"/>
      <c r="M452" s="302">
        <v>1000</v>
      </c>
      <c r="N452" s="302"/>
    </row>
    <row r="453" spans="1:14" s="39" customFormat="1" ht="25.5">
      <c r="A453" s="317"/>
      <c r="B453" s="299"/>
      <c r="C453" s="300">
        <v>4010</v>
      </c>
      <c r="D453" s="301" t="s">
        <v>374</v>
      </c>
      <c r="E453" s="302">
        <f t="shared" si="66"/>
        <v>378900</v>
      </c>
      <c r="F453" s="302">
        <f t="shared" si="67"/>
        <v>378900</v>
      </c>
      <c r="G453" s="302">
        <f>358700+20200</f>
        <v>378900</v>
      </c>
      <c r="H453" s="302"/>
      <c r="I453" s="302"/>
      <c r="J453" s="302"/>
      <c r="K453" s="302"/>
      <c r="L453" s="302"/>
      <c r="M453" s="302"/>
      <c r="N453" s="302"/>
    </row>
    <row r="454" spans="1:14" s="39" customFormat="1" ht="25.5">
      <c r="A454" s="317"/>
      <c r="B454" s="299"/>
      <c r="C454" s="300">
        <v>4040</v>
      </c>
      <c r="D454" s="301" t="s">
        <v>375</v>
      </c>
      <c r="E454" s="302">
        <f t="shared" si="66"/>
        <v>21500</v>
      </c>
      <c r="F454" s="302">
        <f t="shared" si="67"/>
        <v>21500</v>
      </c>
      <c r="G454" s="302"/>
      <c r="H454" s="302">
        <v>21500</v>
      </c>
      <c r="I454" s="302"/>
      <c r="J454" s="302"/>
      <c r="K454" s="302"/>
      <c r="L454" s="302"/>
      <c r="M454" s="302"/>
      <c r="N454" s="302"/>
    </row>
    <row r="455" spans="1:14" s="39" customFormat="1" ht="25.5">
      <c r="A455" s="317"/>
      <c r="B455" s="299"/>
      <c r="C455" s="300">
        <v>4110</v>
      </c>
      <c r="D455" s="301" t="s">
        <v>376</v>
      </c>
      <c r="E455" s="302">
        <f t="shared" si="66"/>
        <v>60800</v>
      </c>
      <c r="F455" s="302">
        <f t="shared" si="67"/>
        <v>60800</v>
      </c>
      <c r="G455" s="302"/>
      <c r="H455" s="302"/>
      <c r="I455" s="302">
        <f>58700+2100</f>
        <v>60800</v>
      </c>
      <c r="J455" s="302"/>
      <c r="K455" s="302"/>
      <c r="L455" s="302"/>
      <c r="M455" s="302"/>
      <c r="N455" s="302"/>
    </row>
    <row r="456" spans="1:14" s="39" customFormat="1" ht="12.75">
      <c r="A456" s="317"/>
      <c r="B456" s="299"/>
      <c r="C456" s="300">
        <v>4120</v>
      </c>
      <c r="D456" s="301" t="s">
        <v>377</v>
      </c>
      <c r="E456" s="302">
        <f t="shared" si="66"/>
        <v>9600</v>
      </c>
      <c r="F456" s="302">
        <f t="shared" si="67"/>
        <v>9600</v>
      </c>
      <c r="G456" s="302"/>
      <c r="H456" s="302"/>
      <c r="I456" s="302">
        <f>9300+300</f>
        <v>9600</v>
      </c>
      <c r="J456" s="302"/>
      <c r="K456" s="302"/>
      <c r="L456" s="302"/>
      <c r="M456" s="302"/>
      <c r="N456" s="302"/>
    </row>
    <row r="457" spans="1:14" s="39" customFormat="1" ht="12.75">
      <c r="A457" s="317"/>
      <c r="B457" s="299"/>
      <c r="C457" s="300">
        <v>4170</v>
      </c>
      <c r="D457" s="301" t="s">
        <v>489</v>
      </c>
      <c r="E457" s="302">
        <f aca="true" t="shared" si="70" ref="E457:E531">F457+N457</f>
        <v>7000</v>
      </c>
      <c r="F457" s="302">
        <f aca="true" t="shared" si="71" ref="F457:F531">SUM(G457:M457)</f>
        <v>7000</v>
      </c>
      <c r="G457" s="302"/>
      <c r="H457" s="302"/>
      <c r="I457" s="302"/>
      <c r="J457" s="302"/>
      <c r="K457" s="302"/>
      <c r="L457" s="302"/>
      <c r="M457" s="302">
        <v>7000</v>
      </c>
      <c r="N457" s="302"/>
    </row>
    <row r="458" spans="1:14" s="39" customFormat="1" ht="25.5">
      <c r="A458" s="317"/>
      <c r="B458" s="299"/>
      <c r="C458" s="300">
        <v>4210</v>
      </c>
      <c r="D458" s="301" t="s">
        <v>379</v>
      </c>
      <c r="E458" s="302">
        <f t="shared" si="70"/>
        <v>7700</v>
      </c>
      <c r="F458" s="302">
        <f t="shared" si="71"/>
        <v>7700</v>
      </c>
      <c r="G458" s="302"/>
      <c r="H458" s="302"/>
      <c r="I458" s="302"/>
      <c r="J458" s="302"/>
      <c r="K458" s="302"/>
      <c r="L458" s="302"/>
      <c r="M458" s="302">
        <v>7700</v>
      </c>
      <c r="N458" s="302"/>
    </row>
    <row r="459" spans="1:14" s="39" customFormat="1" ht="38.25">
      <c r="A459" s="317"/>
      <c r="B459" s="299"/>
      <c r="C459" s="300">
        <v>4230</v>
      </c>
      <c r="D459" s="301" t="s">
        <v>104</v>
      </c>
      <c r="E459" s="302">
        <f t="shared" si="70"/>
        <v>100</v>
      </c>
      <c r="F459" s="302">
        <f t="shared" si="71"/>
        <v>100</v>
      </c>
      <c r="G459" s="302"/>
      <c r="H459" s="302"/>
      <c r="I459" s="302"/>
      <c r="J459" s="302"/>
      <c r="K459" s="302"/>
      <c r="L459" s="302"/>
      <c r="M459" s="302">
        <v>100</v>
      </c>
      <c r="N459" s="302"/>
    </row>
    <row r="460" spans="1:14" s="39" customFormat="1" ht="12.75">
      <c r="A460" s="317"/>
      <c r="B460" s="299"/>
      <c r="C460" s="300">
        <v>4260</v>
      </c>
      <c r="D460" s="301" t="s">
        <v>380</v>
      </c>
      <c r="E460" s="302">
        <f t="shared" si="70"/>
        <v>6500</v>
      </c>
      <c r="F460" s="302">
        <f t="shared" si="71"/>
        <v>6500</v>
      </c>
      <c r="G460" s="302"/>
      <c r="H460" s="302"/>
      <c r="I460" s="302"/>
      <c r="J460" s="302"/>
      <c r="K460" s="302"/>
      <c r="L460" s="302"/>
      <c r="M460" s="302">
        <v>6500</v>
      </c>
      <c r="N460" s="302"/>
    </row>
    <row r="461" spans="1:14" s="39" customFormat="1" ht="12.75">
      <c r="A461" s="317"/>
      <c r="B461" s="299"/>
      <c r="C461" s="300">
        <v>4270</v>
      </c>
      <c r="D461" s="301" t="s">
        <v>381</v>
      </c>
      <c r="E461" s="302">
        <f t="shared" si="70"/>
        <v>1400</v>
      </c>
      <c r="F461" s="302">
        <f t="shared" si="71"/>
        <v>1400</v>
      </c>
      <c r="G461" s="302"/>
      <c r="H461" s="302"/>
      <c r="I461" s="302"/>
      <c r="J461" s="302"/>
      <c r="K461" s="302"/>
      <c r="L461" s="302"/>
      <c r="M461" s="302">
        <v>1400</v>
      </c>
      <c r="N461" s="302"/>
    </row>
    <row r="462" spans="1:14" s="39" customFormat="1" ht="12.75">
      <c r="A462" s="317"/>
      <c r="B462" s="299"/>
      <c r="C462" s="300">
        <v>4280</v>
      </c>
      <c r="D462" s="301" t="s">
        <v>382</v>
      </c>
      <c r="E462" s="302">
        <f t="shared" si="70"/>
        <v>1000</v>
      </c>
      <c r="F462" s="302">
        <f t="shared" si="71"/>
        <v>1000</v>
      </c>
      <c r="G462" s="302"/>
      <c r="H462" s="302"/>
      <c r="I462" s="302"/>
      <c r="J462" s="302"/>
      <c r="K462" s="302"/>
      <c r="L462" s="302"/>
      <c r="M462" s="302">
        <v>1000</v>
      </c>
      <c r="N462" s="302"/>
    </row>
    <row r="463" spans="1:14" s="39" customFormat="1" ht="12.75">
      <c r="A463" s="317"/>
      <c r="B463" s="299"/>
      <c r="C463" s="300">
        <v>4300</v>
      </c>
      <c r="D463" s="301" t="s">
        <v>362</v>
      </c>
      <c r="E463" s="302">
        <f t="shared" si="70"/>
        <v>21100</v>
      </c>
      <c r="F463" s="302">
        <f t="shared" si="71"/>
        <v>21100</v>
      </c>
      <c r="G463" s="302"/>
      <c r="H463" s="302"/>
      <c r="I463" s="302"/>
      <c r="J463" s="302"/>
      <c r="K463" s="302"/>
      <c r="L463" s="302"/>
      <c r="M463" s="302">
        <v>21100</v>
      </c>
      <c r="N463" s="302"/>
    </row>
    <row r="464" spans="1:14" s="39" customFormat="1" ht="37.5" customHeight="1">
      <c r="A464" s="317"/>
      <c r="B464" s="299"/>
      <c r="C464" s="300">
        <v>4350</v>
      </c>
      <c r="D464" s="301" t="s">
        <v>383</v>
      </c>
      <c r="E464" s="302">
        <f t="shared" si="70"/>
        <v>1700</v>
      </c>
      <c r="F464" s="302">
        <f t="shared" si="71"/>
        <v>1700</v>
      </c>
      <c r="G464" s="302"/>
      <c r="H464" s="302"/>
      <c r="I464" s="302"/>
      <c r="J464" s="302"/>
      <c r="K464" s="302"/>
      <c r="L464" s="302"/>
      <c r="M464" s="302">
        <v>1700</v>
      </c>
      <c r="N464" s="302"/>
    </row>
    <row r="465" spans="1:14" s="39" customFormat="1" ht="38.25">
      <c r="A465" s="317"/>
      <c r="B465" s="299"/>
      <c r="C465" s="300">
        <v>4360</v>
      </c>
      <c r="D465" s="301" t="s">
        <v>464</v>
      </c>
      <c r="E465" s="302">
        <f t="shared" si="70"/>
        <v>2500</v>
      </c>
      <c r="F465" s="302">
        <f t="shared" si="71"/>
        <v>2500</v>
      </c>
      <c r="G465" s="302"/>
      <c r="H465" s="302"/>
      <c r="I465" s="302"/>
      <c r="J465" s="302"/>
      <c r="K465" s="302"/>
      <c r="L465" s="302"/>
      <c r="M465" s="302">
        <v>2500</v>
      </c>
      <c r="N465" s="302"/>
    </row>
    <row r="466" spans="1:14" s="39" customFormat="1" ht="38.25">
      <c r="A466" s="317"/>
      <c r="B466" s="299"/>
      <c r="C466" s="300">
        <v>4370</v>
      </c>
      <c r="D466" s="301" t="s">
        <v>457</v>
      </c>
      <c r="E466" s="302">
        <f t="shared" si="70"/>
        <v>7700</v>
      </c>
      <c r="F466" s="302">
        <f t="shared" si="71"/>
        <v>7700</v>
      </c>
      <c r="G466" s="302"/>
      <c r="H466" s="302"/>
      <c r="I466" s="302"/>
      <c r="J466" s="302"/>
      <c r="K466" s="302"/>
      <c r="L466" s="302"/>
      <c r="M466" s="302">
        <v>7700</v>
      </c>
      <c r="N466" s="302"/>
    </row>
    <row r="467" spans="1:14" s="39" customFormat="1" ht="38.25">
      <c r="A467" s="317"/>
      <c r="B467" s="299"/>
      <c r="C467" s="300">
        <v>4400</v>
      </c>
      <c r="D467" s="301" t="s">
        <v>106</v>
      </c>
      <c r="E467" s="302">
        <f t="shared" si="70"/>
        <v>48600</v>
      </c>
      <c r="F467" s="302">
        <f t="shared" si="71"/>
        <v>48600</v>
      </c>
      <c r="G467" s="302"/>
      <c r="H467" s="302"/>
      <c r="I467" s="302"/>
      <c r="J467" s="302"/>
      <c r="K467" s="302"/>
      <c r="L467" s="302"/>
      <c r="M467" s="302">
        <v>48600</v>
      </c>
      <c r="N467" s="302"/>
    </row>
    <row r="468" spans="1:14" s="39" customFormat="1" ht="12.75">
      <c r="A468" s="317"/>
      <c r="B468" s="299"/>
      <c r="C468" s="300">
        <v>4410</v>
      </c>
      <c r="D468" s="301" t="s">
        <v>388</v>
      </c>
      <c r="E468" s="302">
        <f t="shared" si="70"/>
        <v>3100</v>
      </c>
      <c r="F468" s="302">
        <f t="shared" si="71"/>
        <v>3100</v>
      </c>
      <c r="G468" s="302"/>
      <c r="H468" s="302"/>
      <c r="I468" s="302"/>
      <c r="J468" s="302"/>
      <c r="K468" s="302"/>
      <c r="L468" s="302"/>
      <c r="M468" s="302">
        <v>3100</v>
      </c>
      <c r="N468" s="302"/>
    </row>
    <row r="469" spans="1:14" s="39" customFormat="1" ht="27" customHeight="1">
      <c r="A469" s="317"/>
      <c r="B469" s="299"/>
      <c r="C469" s="300">
        <v>4430</v>
      </c>
      <c r="D469" s="301" t="s">
        <v>389</v>
      </c>
      <c r="E469" s="302">
        <f t="shared" si="70"/>
        <v>300</v>
      </c>
      <c r="F469" s="302">
        <f t="shared" si="71"/>
        <v>300</v>
      </c>
      <c r="G469" s="302"/>
      <c r="H469" s="302"/>
      <c r="I469" s="302"/>
      <c r="J469" s="302"/>
      <c r="K469" s="302"/>
      <c r="L469" s="302"/>
      <c r="M469" s="302">
        <v>300</v>
      </c>
      <c r="N469" s="302"/>
    </row>
    <row r="470" spans="1:14" s="39" customFormat="1" ht="25.5">
      <c r="A470" s="317"/>
      <c r="B470" s="299"/>
      <c r="C470" s="300">
        <v>4440</v>
      </c>
      <c r="D470" s="301" t="s">
        <v>390</v>
      </c>
      <c r="E470" s="302">
        <f t="shared" si="70"/>
        <v>9870</v>
      </c>
      <c r="F470" s="302">
        <f t="shared" si="71"/>
        <v>9870</v>
      </c>
      <c r="G470" s="302"/>
      <c r="H470" s="302"/>
      <c r="I470" s="302"/>
      <c r="J470" s="302"/>
      <c r="K470" s="302"/>
      <c r="L470" s="302"/>
      <c r="M470" s="302">
        <v>9870</v>
      </c>
      <c r="N470" s="302"/>
    </row>
    <row r="471" spans="1:14" s="39" customFormat="1" ht="25.5">
      <c r="A471" s="317"/>
      <c r="B471" s="299"/>
      <c r="C471" s="300">
        <v>4510</v>
      </c>
      <c r="D471" s="301" t="s">
        <v>643</v>
      </c>
      <c r="E471" s="302">
        <f t="shared" si="70"/>
        <v>100</v>
      </c>
      <c r="F471" s="302">
        <f>SUM(G471:M471)</f>
        <v>100</v>
      </c>
      <c r="G471" s="302"/>
      <c r="H471" s="302"/>
      <c r="I471" s="302"/>
      <c r="J471" s="302"/>
      <c r="K471" s="302"/>
      <c r="L471" s="302"/>
      <c r="M471" s="302">
        <v>100</v>
      </c>
      <c r="N471" s="302"/>
    </row>
    <row r="472" spans="1:14" s="39" customFormat="1" ht="38.25">
      <c r="A472" s="317"/>
      <c r="B472" s="299"/>
      <c r="C472" s="300">
        <v>4700</v>
      </c>
      <c r="D472" s="301" t="s">
        <v>606</v>
      </c>
      <c r="E472" s="302">
        <f t="shared" si="70"/>
        <v>2600</v>
      </c>
      <c r="F472" s="302">
        <f t="shared" si="71"/>
        <v>2600</v>
      </c>
      <c r="G472" s="302"/>
      <c r="H472" s="302"/>
      <c r="I472" s="302"/>
      <c r="J472" s="302"/>
      <c r="K472" s="302"/>
      <c r="L472" s="302"/>
      <c r="M472" s="302">
        <v>2600</v>
      </c>
      <c r="N472" s="302"/>
    </row>
    <row r="473" spans="1:14" s="39" customFormat="1" ht="51">
      <c r="A473" s="317"/>
      <c r="B473" s="299"/>
      <c r="C473" s="300">
        <v>4740</v>
      </c>
      <c r="D473" s="301" t="s">
        <v>416</v>
      </c>
      <c r="E473" s="302">
        <f t="shared" si="70"/>
        <v>2100</v>
      </c>
      <c r="F473" s="302">
        <f t="shared" si="71"/>
        <v>2100</v>
      </c>
      <c r="G473" s="302"/>
      <c r="H473" s="302"/>
      <c r="I473" s="302"/>
      <c r="J473" s="302"/>
      <c r="K473" s="302"/>
      <c r="L473" s="302"/>
      <c r="M473" s="302">
        <v>2100</v>
      </c>
      <c r="N473" s="302"/>
    </row>
    <row r="474" spans="1:14" s="39" customFormat="1" ht="38.25">
      <c r="A474" s="317"/>
      <c r="B474" s="299"/>
      <c r="C474" s="300">
        <v>4750</v>
      </c>
      <c r="D474" s="301" t="s">
        <v>458</v>
      </c>
      <c r="E474" s="302">
        <f t="shared" si="70"/>
        <v>6200</v>
      </c>
      <c r="F474" s="302">
        <f t="shared" si="71"/>
        <v>6200</v>
      </c>
      <c r="G474" s="302"/>
      <c r="H474" s="302"/>
      <c r="I474" s="302"/>
      <c r="J474" s="302"/>
      <c r="K474" s="302"/>
      <c r="L474" s="302"/>
      <c r="M474" s="302">
        <v>6200</v>
      </c>
      <c r="N474" s="302"/>
    </row>
    <row r="475" spans="1:14" s="39" customFormat="1" ht="25.5">
      <c r="A475" s="290"/>
      <c r="B475" s="290"/>
      <c r="C475" s="300">
        <v>6050</v>
      </c>
      <c r="D475" s="308" t="s">
        <v>122</v>
      </c>
      <c r="E475" s="302">
        <f t="shared" si="70"/>
        <v>19520</v>
      </c>
      <c r="F475" s="302">
        <f t="shared" si="71"/>
        <v>0</v>
      </c>
      <c r="G475" s="302"/>
      <c r="H475" s="302"/>
      <c r="I475" s="302"/>
      <c r="J475" s="302"/>
      <c r="K475" s="302"/>
      <c r="L475" s="302"/>
      <c r="M475" s="302"/>
      <c r="N475" s="302">
        <v>19520</v>
      </c>
    </row>
    <row r="476" spans="1:14" s="62" customFormat="1" ht="63.75">
      <c r="A476" s="316"/>
      <c r="B476" s="295">
        <v>85220</v>
      </c>
      <c r="C476" s="296"/>
      <c r="D476" s="306" t="s">
        <v>494</v>
      </c>
      <c r="E476" s="298">
        <f t="shared" si="70"/>
        <v>57940</v>
      </c>
      <c r="F476" s="298">
        <f t="shared" si="71"/>
        <v>57940</v>
      </c>
      <c r="G476" s="298">
        <f aca="true" t="shared" si="72" ref="G476:L476">SUM(G477:G486)</f>
        <v>39600</v>
      </c>
      <c r="H476" s="298">
        <f t="shared" si="72"/>
        <v>3200</v>
      </c>
      <c r="I476" s="298">
        <f t="shared" si="72"/>
        <v>7700</v>
      </c>
      <c r="J476" s="298">
        <f t="shared" si="72"/>
        <v>0</v>
      </c>
      <c r="K476" s="298">
        <f t="shared" si="72"/>
        <v>0</v>
      </c>
      <c r="L476" s="298">
        <f t="shared" si="72"/>
        <v>0</v>
      </c>
      <c r="M476" s="298">
        <f>SUM(M477:M487)</f>
        <v>7440</v>
      </c>
      <c r="N476" s="298">
        <f>SUM(N477:N486)</f>
        <v>0</v>
      </c>
    </row>
    <row r="477" spans="1:14" s="39" customFormat="1" ht="25.5">
      <c r="A477" s="317"/>
      <c r="B477" s="299"/>
      <c r="C477" s="300">
        <v>4010</v>
      </c>
      <c r="D477" s="301" t="s">
        <v>374</v>
      </c>
      <c r="E477" s="302">
        <f t="shared" si="70"/>
        <v>39600</v>
      </c>
      <c r="F477" s="302">
        <f t="shared" si="71"/>
        <v>39600</v>
      </c>
      <c r="G477" s="302">
        <v>39600</v>
      </c>
      <c r="H477" s="302"/>
      <c r="I477" s="302"/>
      <c r="J477" s="302"/>
      <c r="K477" s="302"/>
      <c r="L477" s="302"/>
      <c r="M477" s="302"/>
      <c r="N477" s="302"/>
    </row>
    <row r="478" spans="1:14" s="39" customFormat="1" ht="25.5">
      <c r="A478" s="317"/>
      <c r="B478" s="299"/>
      <c r="C478" s="300">
        <v>4040</v>
      </c>
      <c r="D478" s="301" t="s">
        <v>375</v>
      </c>
      <c r="E478" s="302">
        <f t="shared" si="70"/>
        <v>3200</v>
      </c>
      <c r="F478" s="302">
        <f t="shared" si="71"/>
        <v>3200</v>
      </c>
      <c r="G478" s="302"/>
      <c r="H478" s="302">
        <v>3200</v>
      </c>
      <c r="I478" s="302"/>
      <c r="J478" s="302"/>
      <c r="K478" s="302"/>
      <c r="L478" s="302"/>
      <c r="M478" s="302"/>
      <c r="N478" s="302"/>
    </row>
    <row r="479" spans="1:14" s="39" customFormat="1" ht="25.5">
      <c r="A479" s="317"/>
      <c r="B479" s="299"/>
      <c r="C479" s="300">
        <v>4110</v>
      </c>
      <c r="D479" s="301" t="s">
        <v>376</v>
      </c>
      <c r="E479" s="302">
        <f t="shared" si="70"/>
        <v>6600</v>
      </c>
      <c r="F479" s="302">
        <f t="shared" si="71"/>
        <v>6600</v>
      </c>
      <c r="G479" s="302"/>
      <c r="H479" s="302"/>
      <c r="I479" s="302">
        <v>6600</v>
      </c>
      <c r="J479" s="302"/>
      <c r="K479" s="302"/>
      <c r="L479" s="302"/>
      <c r="M479" s="302"/>
      <c r="N479" s="302"/>
    </row>
    <row r="480" spans="1:14" s="39" customFormat="1" ht="12.75">
      <c r="A480" s="317"/>
      <c r="B480" s="299"/>
      <c r="C480" s="300">
        <v>4120</v>
      </c>
      <c r="D480" s="301" t="s">
        <v>377</v>
      </c>
      <c r="E480" s="302">
        <f t="shared" si="70"/>
        <v>1100</v>
      </c>
      <c r="F480" s="302">
        <f t="shared" si="71"/>
        <v>1100</v>
      </c>
      <c r="G480" s="302"/>
      <c r="H480" s="302"/>
      <c r="I480" s="302">
        <v>1100</v>
      </c>
      <c r="J480" s="302"/>
      <c r="K480" s="302"/>
      <c r="L480" s="302"/>
      <c r="M480" s="302"/>
      <c r="N480" s="302"/>
    </row>
    <row r="481" spans="1:14" s="39" customFormat="1" ht="12.75">
      <c r="A481" s="317"/>
      <c r="B481" s="299"/>
      <c r="C481" s="300">
        <v>4170</v>
      </c>
      <c r="D481" s="301" t="s">
        <v>437</v>
      </c>
      <c r="E481" s="302">
        <f t="shared" si="70"/>
        <v>4500</v>
      </c>
      <c r="F481" s="302">
        <f t="shared" si="71"/>
        <v>4500</v>
      </c>
      <c r="G481" s="302"/>
      <c r="H481" s="302"/>
      <c r="I481" s="302"/>
      <c r="J481" s="302"/>
      <c r="K481" s="302"/>
      <c r="L481" s="302"/>
      <c r="M481" s="302">
        <v>4500</v>
      </c>
      <c r="N481" s="302"/>
    </row>
    <row r="482" spans="1:14" s="39" customFormat="1" ht="25.5">
      <c r="A482" s="317"/>
      <c r="B482" s="299"/>
      <c r="C482" s="300">
        <v>4210</v>
      </c>
      <c r="D482" s="301" t="s">
        <v>379</v>
      </c>
      <c r="E482" s="302">
        <f t="shared" si="70"/>
        <v>300</v>
      </c>
      <c r="F482" s="302">
        <f>SUM(G482:M482)</f>
        <v>300</v>
      </c>
      <c r="G482" s="302"/>
      <c r="H482" s="302"/>
      <c r="I482" s="302"/>
      <c r="J482" s="302"/>
      <c r="K482" s="302"/>
      <c r="L482" s="302"/>
      <c r="M482" s="302">
        <v>300</v>
      </c>
      <c r="N482" s="302"/>
    </row>
    <row r="483" spans="1:14" s="39" customFormat="1" ht="12.75">
      <c r="A483" s="317"/>
      <c r="B483" s="299"/>
      <c r="C483" s="300">
        <v>4300</v>
      </c>
      <c r="D483" s="301" t="s">
        <v>415</v>
      </c>
      <c r="E483" s="302">
        <f t="shared" si="70"/>
        <v>700</v>
      </c>
      <c r="F483" s="302">
        <f t="shared" si="71"/>
        <v>700</v>
      </c>
      <c r="G483" s="302"/>
      <c r="H483" s="302"/>
      <c r="I483" s="302"/>
      <c r="J483" s="302"/>
      <c r="K483" s="302"/>
      <c r="L483" s="302"/>
      <c r="M483" s="302">
        <v>700</v>
      </c>
      <c r="N483" s="302"/>
    </row>
    <row r="484" spans="1:14" s="39" customFormat="1" ht="38.25">
      <c r="A484" s="317"/>
      <c r="B484" s="299"/>
      <c r="C484" s="300">
        <v>4360</v>
      </c>
      <c r="D484" s="301" t="s">
        <v>464</v>
      </c>
      <c r="E484" s="302">
        <f t="shared" si="70"/>
        <v>600</v>
      </c>
      <c r="F484" s="302">
        <f t="shared" si="71"/>
        <v>600</v>
      </c>
      <c r="G484" s="302"/>
      <c r="H484" s="302"/>
      <c r="I484" s="302"/>
      <c r="J484" s="302"/>
      <c r="K484" s="302"/>
      <c r="L484" s="302"/>
      <c r="M484" s="302">
        <v>600</v>
      </c>
      <c r="N484" s="302"/>
    </row>
    <row r="485" spans="1:14" s="39" customFormat="1" ht="12.75">
      <c r="A485" s="317"/>
      <c r="B485" s="299"/>
      <c r="C485" s="300">
        <v>4410</v>
      </c>
      <c r="D485" s="301" t="s">
        <v>388</v>
      </c>
      <c r="E485" s="302">
        <f t="shared" si="70"/>
        <v>100</v>
      </c>
      <c r="F485" s="302">
        <f t="shared" si="71"/>
        <v>100</v>
      </c>
      <c r="G485" s="302"/>
      <c r="H485" s="302"/>
      <c r="I485" s="302"/>
      <c r="J485" s="302"/>
      <c r="K485" s="302"/>
      <c r="L485" s="302"/>
      <c r="M485" s="302">
        <v>100</v>
      </c>
      <c r="N485" s="302"/>
    </row>
    <row r="486" spans="1:14" s="39" customFormat="1" ht="40.5" customHeight="1">
      <c r="A486" s="317"/>
      <c r="B486" s="299"/>
      <c r="C486" s="300">
        <v>4440</v>
      </c>
      <c r="D486" s="301" t="s">
        <v>390</v>
      </c>
      <c r="E486" s="302">
        <f t="shared" si="70"/>
        <v>940</v>
      </c>
      <c r="F486" s="302">
        <f t="shared" si="71"/>
        <v>940</v>
      </c>
      <c r="G486" s="302"/>
      <c r="H486" s="302"/>
      <c r="I486" s="302"/>
      <c r="J486" s="302"/>
      <c r="K486" s="302"/>
      <c r="L486" s="302"/>
      <c r="M486" s="302">
        <v>940</v>
      </c>
      <c r="N486" s="302"/>
    </row>
    <row r="487" spans="1:14" s="39" customFormat="1" ht="38.25">
      <c r="A487" s="317"/>
      <c r="B487" s="299"/>
      <c r="C487" s="300">
        <v>4700</v>
      </c>
      <c r="D487" s="301" t="s">
        <v>606</v>
      </c>
      <c r="E487" s="302">
        <f t="shared" si="70"/>
        <v>300</v>
      </c>
      <c r="F487" s="302">
        <f t="shared" si="71"/>
        <v>300</v>
      </c>
      <c r="G487" s="302"/>
      <c r="H487" s="302"/>
      <c r="I487" s="302"/>
      <c r="J487" s="302"/>
      <c r="K487" s="302"/>
      <c r="L487" s="302"/>
      <c r="M487" s="302">
        <v>300</v>
      </c>
      <c r="N487" s="302"/>
    </row>
    <row r="488" spans="1:14" s="62" customFormat="1" ht="25.5">
      <c r="A488" s="316"/>
      <c r="B488" s="295">
        <v>85233</v>
      </c>
      <c r="C488" s="296"/>
      <c r="D488" s="306" t="s">
        <v>495</v>
      </c>
      <c r="E488" s="298">
        <f t="shared" si="70"/>
        <v>4030</v>
      </c>
      <c r="F488" s="298">
        <f t="shared" si="71"/>
        <v>4030</v>
      </c>
      <c r="G488" s="298">
        <f aca="true" t="shared" si="73" ref="G488:N488">SUM(G489:G490)</f>
        <v>0</v>
      </c>
      <c r="H488" s="298">
        <f t="shared" si="73"/>
        <v>0</v>
      </c>
      <c r="I488" s="298">
        <f t="shared" si="73"/>
        <v>0</v>
      </c>
      <c r="J488" s="298">
        <f t="shared" si="73"/>
        <v>0</v>
      </c>
      <c r="K488" s="298">
        <f t="shared" si="73"/>
        <v>0</v>
      </c>
      <c r="L488" s="298">
        <f t="shared" si="73"/>
        <v>0</v>
      </c>
      <c r="M488" s="298">
        <f t="shared" si="73"/>
        <v>4030</v>
      </c>
      <c r="N488" s="298">
        <f t="shared" si="73"/>
        <v>0</v>
      </c>
    </row>
    <row r="489" spans="1:14" s="39" customFormat="1" ht="12.75">
      <c r="A489" s="317"/>
      <c r="B489" s="299"/>
      <c r="C489" s="300">
        <v>4300</v>
      </c>
      <c r="D489" s="301" t="s">
        <v>415</v>
      </c>
      <c r="E489" s="302">
        <f t="shared" si="70"/>
        <v>3540</v>
      </c>
      <c r="F489" s="302">
        <f t="shared" si="71"/>
        <v>3540</v>
      </c>
      <c r="G489" s="302"/>
      <c r="H489" s="302"/>
      <c r="I489" s="302"/>
      <c r="J489" s="302"/>
      <c r="K489" s="302"/>
      <c r="L489" s="302"/>
      <c r="M489" s="302">
        <v>3540</v>
      </c>
      <c r="N489" s="302"/>
    </row>
    <row r="490" spans="1:14" s="39" customFormat="1" ht="12.75">
      <c r="A490" s="317"/>
      <c r="B490" s="299"/>
      <c r="C490" s="300">
        <v>4410</v>
      </c>
      <c r="D490" s="301" t="s">
        <v>388</v>
      </c>
      <c r="E490" s="302">
        <f t="shared" si="70"/>
        <v>490</v>
      </c>
      <c r="F490" s="302">
        <f t="shared" si="71"/>
        <v>490</v>
      </c>
      <c r="G490" s="302"/>
      <c r="H490" s="302"/>
      <c r="I490" s="302"/>
      <c r="J490" s="302"/>
      <c r="K490" s="302"/>
      <c r="L490" s="302"/>
      <c r="M490" s="302">
        <v>490</v>
      </c>
      <c r="N490" s="302"/>
    </row>
    <row r="491" spans="1:14" s="62" customFormat="1" ht="12.75">
      <c r="A491" s="316"/>
      <c r="B491" s="295">
        <v>85295</v>
      </c>
      <c r="C491" s="296"/>
      <c r="D491" s="306" t="s">
        <v>496</v>
      </c>
      <c r="E491" s="298">
        <f t="shared" si="70"/>
        <v>3000</v>
      </c>
      <c r="F491" s="298">
        <f t="shared" si="71"/>
        <v>3000</v>
      </c>
      <c r="G491" s="298">
        <f aca="true" t="shared" si="74" ref="G491:N491">SUM(G492:G495)</f>
        <v>1010</v>
      </c>
      <c r="H491" s="298">
        <f t="shared" si="74"/>
        <v>0</v>
      </c>
      <c r="I491" s="298">
        <f t="shared" si="74"/>
        <v>190</v>
      </c>
      <c r="J491" s="298">
        <f t="shared" si="74"/>
        <v>0</v>
      </c>
      <c r="K491" s="298">
        <f t="shared" si="74"/>
        <v>0</v>
      </c>
      <c r="L491" s="298">
        <f t="shared" si="74"/>
        <v>0</v>
      </c>
      <c r="M491" s="298">
        <f t="shared" si="74"/>
        <v>1800</v>
      </c>
      <c r="N491" s="298">
        <f t="shared" si="74"/>
        <v>0</v>
      </c>
    </row>
    <row r="492" spans="1:14" s="39" customFormat="1" ht="25.5">
      <c r="A492" s="317"/>
      <c r="B492" s="299"/>
      <c r="C492" s="300">
        <v>4440</v>
      </c>
      <c r="D492" s="301" t="s">
        <v>390</v>
      </c>
      <c r="E492" s="302">
        <f t="shared" si="70"/>
        <v>1800</v>
      </c>
      <c r="F492" s="302">
        <f t="shared" si="71"/>
        <v>1800</v>
      </c>
      <c r="G492" s="302"/>
      <c r="H492" s="302"/>
      <c r="I492" s="302"/>
      <c r="J492" s="302"/>
      <c r="K492" s="302"/>
      <c r="L492" s="302"/>
      <c r="M492" s="302">
        <v>1800</v>
      </c>
      <c r="N492" s="302"/>
    </row>
    <row r="493" spans="1:14" s="39" customFormat="1" ht="36.75" customHeight="1">
      <c r="A493" s="317"/>
      <c r="B493" s="299"/>
      <c r="C493" s="300">
        <v>4010</v>
      </c>
      <c r="D493" s="301" t="s">
        <v>591</v>
      </c>
      <c r="E493" s="302">
        <f t="shared" si="70"/>
        <v>1010</v>
      </c>
      <c r="F493" s="302">
        <f>SUM(G493:M493)</f>
        <v>1010</v>
      </c>
      <c r="G493" s="302">
        <v>1010</v>
      </c>
      <c r="H493" s="302"/>
      <c r="I493" s="302"/>
      <c r="J493" s="302"/>
      <c r="K493" s="302"/>
      <c r="L493" s="302"/>
      <c r="M493" s="302"/>
      <c r="N493" s="302"/>
    </row>
    <row r="494" spans="1:14" s="39" customFormat="1" ht="25.5">
      <c r="A494" s="317"/>
      <c r="B494" s="299"/>
      <c r="C494" s="300">
        <v>4110</v>
      </c>
      <c r="D494" s="301" t="s">
        <v>453</v>
      </c>
      <c r="E494" s="302">
        <f>F494+N494</f>
        <v>160</v>
      </c>
      <c r="F494" s="302">
        <f>SUM(G494:M494)</f>
        <v>160</v>
      </c>
      <c r="G494" s="302"/>
      <c r="H494" s="302"/>
      <c r="I494" s="302">
        <v>160</v>
      </c>
      <c r="J494" s="302"/>
      <c r="K494" s="302"/>
      <c r="L494" s="302"/>
      <c r="M494" s="302"/>
      <c r="N494" s="302"/>
    </row>
    <row r="495" spans="1:14" s="39" customFormat="1" ht="12.75">
      <c r="A495" s="317"/>
      <c r="B495" s="299"/>
      <c r="C495" s="300">
        <v>4120</v>
      </c>
      <c r="D495" s="301" t="s">
        <v>377</v>
      </c>
      <c r="E495" s="302">
        <f>F495+N495</f>
        <v>30</v>
      </c>
      <c r="F495" s="302">
        <f>SUM(G495:M495)</f>
        <v>30</v>
      </c>
      <c r="G495" s="302"/>
      <c r="H495" s="302"/>
      <c r="I495" s="302">
        <v>30</v>
      </c>
      <c r="J495" s="302"/>
      <c r="K495" s="302"/>
      <c r="L495" s="302"/>
      <c r="M495" s="302"/>
      <c r="N495" s="302"/>
    </row>
    <row r="496" spans="1:14" s="294" customFormat="1" ht="38.25">
      <c r="A496" s="290">
        <v>853</v>
      </c>
      <c r="B496" s="290"/>
      <c r="C496" s="291"/>
      <c r="D496" s="307" t="s">
        <v>497</v>
      </c>
      <c r="E496" s="293">
        <f t="shared" si="70"/>
        <v>5404058</v>
      </c>
      <c r="F496" s="293">
        <f t="shared" si="71"/>
        <v>5396858</v>
      </c>
      <c r="G496" s="293">
        <f aca="true" t="shared" si="75" ref="G496:N496">SUM(G499+G515+G497+G545+G547)</f>
        <v>1560804</v>
      </c>
      <c r="H496" s="293">
        <f t="shared" si="75"/>
        <v>120556</v>
      </c>
      <c r="I496" s="293">
        <f t="shared" si="75"/>
        <v>432005</v>
      </c>
      <c r="J496" s="293">
        <f t="shared" si="75"/>
        <v>880585</v>
      </c>
      <c r="K496" s="293">
        <f t="shared" si="75"/>
        <v>0</v>
      </c>
      <c r="L496" s="293">
        <f t="shared" si="75"/>
        <v>2070188</v>
      </c>
      <c r="M496" s="293">
        <f t="shared" si="75"/>
        <v>332720</v>
      </c>
      <c r="N496" s="293">
        <f t="shared" si="75"/>
        <v>7200</v>
      </c>
    </row>
    <row r="497" spans="1:14" s="62" customFormat="1" ht="38.25">
      <c r="A497" s="316"/>
      <c r="B497" s="295">
        <v>85311</v>
      </c>
      <c r="C497" s="296"/>
      <c r="D497" s="306" t="s">
        <v>387</v>
      </c>
      <c r="E497" s="298">
        <f t="shared" si="70"/>
        <v>16500</v>
      </c>
      <c r="F497" s="298">
        <f t="shared" si="71"/>
        <v>16500</v>
      </c>
      <c r="G497" s="298">
        <f>SUM(G498:G498)</f>
        <v>0</v>
      </c>
      <c r="H497" s="298">
        <f aca="true" t="shared" si="76" ref="H497:N497">SUM(H498:H498)</f>
        <v>0</v>
      </c>
      <c r="I497" s="298">
        <f t="shared" si="76"/>
        <v>0</v>
      </c>
      <c r="J497" s="298">
        <f t="shared" si="76"/>
        <v>16500</v>
      </c>
      <c r="K497" s="298">
        <f t="shared" si="76"/>
        <v>0</v>
      </c>
      <c r="L497" s="298">
        <f t="shared" si="76"/>
        <v>0</v>
      </c>
      <c r="M497" s="298">
        <f t="shared" si="76"/>
        <v>0</v>
      </c>
      <c r="N497" s="298">
        <f t="shared" si="76"/>
        <v>0</v>
      </c>
    </row>
    <row r="498" spans="1:14" s="39" customFormat="1" ht="76.5">
      <c r="A498" s="317"/>
      <c r="B498" s="299"/>
      <c r="C498" s="300">
        <v>2320</v>
      </c>
      <c r="D498" s="301" t="s">
        <v>482</v>
      </c>
      <c r="E498" s="302">
        <f t="shared" si="70"/>
        <v>16500</v>
      </c>
      <c r="F498" s="302">
        <f t="shared" si="71"/>
        <v>16500</v>
      </c>
      <c r="G498" s="302"/>
      <c r="H498" s="302"/>
      <c r="I498" s="302"/>
      <c r="J498" s="302">
        <v>16500</v>
      </c>
      <c r="K498" s="302"/>
      <c r="L498" s="302"/>
      <c r="M498" s="302"/>
      <c r="N498" s="302"/>
    </row>
    <row r="499" spans="1:14" s="62" customFormat="1" ht="38.25">
      <c r="A499" s="295"/>
      <c r="B499" s="295">
        <v>85321</v>
      </c>
      <c r="C499" s="296"/>
      <c r="D499" s="306" t="s">
        <v>498</v>
      </c>
      <c r="E499" s="298">
        <f t="shared" si="70"/>
        <v>151560</v>
      </c>
      <c r="F499" s="298">
        <f t="shared" si="71"/>
        <v>151560</v>
      </c>
      <c r="G499" s="298">
        <f aca="true" t="shared" si="77" ref="G499:N499">SUM(G500:G514)</f>
        <v>50900</v>
      </c>
      <c r="H499" s="298">
        <f t="shared" si="77"/>
        <v>3700</v>
      </c>
      <c r="I499" s="298">
        <f t="shared" si="77"/>
        <v>11800</v>
      </c>
      <c r="J499" s="298">
        <f t="shared" si="77"/>
        <v>0</v>
      </c>
      <c r="K499" s="298">
        <f t="shared" si="77"/>
        <v>0</v>
      </c>
      <c r="L499" s="298">
        <f t="shared" si="77"/>
        <v>0</v>
      </c>
      <c r="M499" s="298">
        <f t="shared" si="77"/>
        <v>85160</v>
      </c>
      <c r="N499" s="298">
        <f t="shared" si="77"/>
        <v>0</v>
      </c>
    </row>
    <row r="500" spans="1:14" s="39" customFormat="1" ht="25.5">
      <c r="A500" s="299"/>
      <c r="B500" s="299"/>
      <c r="C500" s="300">
        <v>4010</v>
      </c>
      <c r="D500" s="301" t="s">
        <v>374</v>
      </c>
      <c r="E500" s="302">
        <f t="shared" si="70"/>
        <v>50900</v>
      </c>
      <c r="F500" s="302">
        <f t="shared" si="71"/>
        <v>50900</v>
      </c>
      <c r="G500" s="302">
        <v>50900</v>
      </c>
      <c r="H500" s="302"/>
      <c r="I500" s="302"/>
      <c r="J500" s="302"/>
      <c r="K500" s="302"/>
      <c r="L500" s="302"/>
      <c r="M500" s="302"/>
      <c r="N500" s="302"/>
    </row>
    <row r="501" spans="1:14" s="39" customFormat="1" ht="32.25" customHeight="1">
      <c r="A501" s="299"/>
      <c r="B501" s="299"/>
      <c r="C501" s="300">
        <v>4040</v>
      </c>
      <c r="D501" s="301" t="s">
        <v>375</v>
      </c>
      <c r="E501" s="302">
        <f t="shared" si="70"/>
        <v>3700</v>
      </c>
      <c r="F501" s="302">
        <f t="shared" si="71"/>
        <v>3700</v>
      </c>
      <c r="G501" s="302"/>
      <c r="H501" s="302">
        <v>3700</v>
      </c>
      <c r="I501" s="302"/>
      <c r="J501" s="302"/>
      <c r="K501" s="302"/>
      <c r="L501" s="302"/>
      <c r="M501" s="302"/>
      <c r="N501" s="302"/>
    </row>
    <row r="502" spans="1:14" s="39" customFormat="1" ht="25.5">
      <c r="A502" s="299"/>
      <c r="B502" s="299"/>
      <c r="C502" s="300">
        <v>4110</v>
      </c>
      <c r="D502" s="301" t="s">
        <v>376</v>
      </c>
      <c r="E502" s="302">
        <f t="shared" si="70"/>
        <v>10200</v>
      </c>
      <c r="F502" s="302">
        <f t="shared" si="71"/>
        <v>10200</v>
      </c>
      <c r="G502" s="302"/>
      <c r="H502" s="302"/>
      <c r="I502" s="302">
        <v>10200</v>
      </c>
      <c r="J502" s="302"/>
      <c r="K502" s="302"/>
      <c r="L502" s="302"/>
      <c r="M502" s="302"/>
      <c r="N502" s="302"/>
    </row>
    <row r="503" spans="1:14" s="39" customFormat="1" ht="12.75">
      <c r="A503" s="299"/>
      <c r="B503" s="299"/>
      <c r="C503" s="300">
        <v>4120</v>
      </c>
      <c r="D503" s="301" t="s">
        <v>377</v>
      </c>
      <c r="E503" s="302">
        <f t="shared" si="70"/>
        <v>1600</v>
      </c>
      <c r="F503" s="302">
        <f t="shared" si="71"/>
        <v>1600</v>
      </c>
      <c r="G503" s="302"/>
      <c r="H503" s="302"/>
      <c r="I503" s="302">
        <v>1600</v>
      </c>
      <c r="J503" s="302"/>
      <c r="K503" s="302"/>
      <c r="L503" s="302"/>
      <c r="M503" s="302"/>
      <c r="N503" s="302"/>
    </row>
    <row r="504" spans="1:14" s="39" customFormat="1" ht="12.75">
      <c r="A504" s="299"/>
      <c r="B504" s="299"/>
      <c r="C504" s="300">
        <v>4170</v>
      </c>
      <c r="D504" s="301" t="s">
        <v>378</v>
      </c>
      <c r="E504" s="302">
        <f t="shared" si="70"/>
        <v>29000</v>
      </c>
      <c r="F504" s="302">
        <f t="shared" si="71"/>
        <v>29000</v>
      </c>
      <c r="G504" s="302"/>
      <c r="H504" s="302"/>
      <c r="I504" s="302"/>
      <c r="J504" s="302"/>
      <c r="K504" s="302"/>
      <c r="L504" s="302"/>
      <c r="M504" s="302">
        <v>29000</v>
      </c>
      <c r="N504" s="302"/>
    </row>
    <row r="505" spans="1:14" s="39" customFormat="1" ht="32.25" customHeight="1">
      <c r="A505" s="299"/>
      <c r="B505" s="299"/>
      <c r="C505" s="300">
        <v>4210</v>
      </c>
      <c r="D505" s="301" t="s">
        <v>379</v>
      </c>
      <c r="E505" s="302">
        <f t="shared" si="70"/>
        <v>1300</v>
      </c>
      <c r="F505" s="302">
        <f t="shared" si="71"/>
        <v>1300</v>
      </c>
      <c r="G505" s="302"/>
      <c r="H505" s="302"/>
      <c r="I505" s="302"/>
      <c r="J505" s="302"/>
      <c r="K505" s="302"/>
      <c r="L505" s="302"/>
      <c r="M505" s="302">
        <v>1300</v>
      </c>
      <c r="N505" s="302"/>
    </row>
    <row r="506" spans="1:14" s="39" customFormat="1" ht="12.75">
      <c r="A506" s="299"/>
      <c r="B506" s="299"/>
      <c r="C506" s="300">
        <v>4270</v>
      </c>
      <c r="D506" s="301" t="s">
        <v>381</v>
      </c>
      <c r="E506" s="302">
        <f t="shared" si="70"/>
        <v>550</v>
      </c>
      <c r="F506" s="302">
        <f t="shared" si="71"/>
        <v>550</v>
      </c>
      <c r="G506" s="302"/>
      <c r="H506" s="302"/>
      <c r="I506" s="302"/>
      <c r="J506" s="302"/>
      <c r="K506" s="302"/>
      <c r="L506" s="302"/>
      <c r="M506" s="302">
        <v>550</v>
      </c>
      <c r="N506" s="302"/>
    </row>
    <row r="507" spans="1:14" s="39" customFormat="1" ht="12.75">
      <c r="A507" s="299"/>
      <c r="B507" s="299"/>
      <c r="C507" s="300">
        <v>4300</v>
      </c>
      <c r="D507" s="301" t="s">
        <v>362</v>
      </c>
      <c r="E507" s="302">
        <f t="shared" si="70"/>
        <v>49300</v>
      </c>
      <c r="F507" s="302">
        <f t="shared" si="71"/>
        <v>49300</v>
      </c>
      <c r="G507" s="302"/>
      <c r="H507" s="302"/>
      <c r="I507" s="302"/>
      <c r="J507" s="302"/>
      <c r="K507" s="302"/>
      <c r="L507" s="302"/>
      <c r="M507" s="302">
        <v>49300</v>
      </c>
      <c r="N507" s="302"/>
    </row>
    <row r="508" spans="1:14" s="39" customFormat="1" ht="25.5">
      <c r="A508" s="299"/>
      <c r="B508" s="299"/>
      <c r="C508" s="300">
        <v>4350</v>
      </c>
      <c r="D508" s="309" t="s">
        <v>383</v>
      </c>
      <c r="E508" s="302">
        <f>F508+N508</f>
        <v>450</v>
      </c>
      <c r="F508" s="302">
        <f>SUM(G508:M508)</f>
        <v>450</v>
      </c>
      <c r="G508" s="302"/>
      <c r="H508" s="302"/>
      <c r="I508" s="302"/>
      <c r="J508" s="302"/>
      <c r="K508" s="302"/>
      <c r="L508" s="302"/>
      <c r="M508" s="302">
        <v>450</v>
      </c>
      <c r="N508" s="302"/>
    </row>
    <row r="509" spans="1:14" s="39" customFormat="1" ht="38.25">
      <c r="A509" s="299"/>
      <c r="B509" s="299"/>
      <c r="C509" s="300">
        <v>4370</v>
      </c>
      <c r="D509" s="301" t="s">
        <v>457</v>
      </c>
      <c r="E509" s="302">
        <f t="shared" si="70"/>
        <v>1600</v>
      </c>
      <c r="F509" s="302">
        <f t="shared" si="71"/>
        <v>1600</v>
      </c>
      <c r="G509" s="302"/>
      <c r="H509" s="302"/>
      <c r="I509" s="302"/>
      <c r="J509" s="302"/>
      <c r="K509" s="302"/>
      <c r="L509" s="302"/>
      <c r="M509" s="302">
        <v>1600</v>
      </c>
      <c r="N509" s="302"/>
    </row>
    <row r="510" spans="1:14" s="39" customFormat="1" ht="12.75">
      <c r="A510" s="299"/>
      <c r="B510" s="299"/>
      <c r="C510" s="300">
        <v>4410</v>
      </c>
      <c r="D510" s="301" t="s">
        <v>499</v>
      </c>
      <c r="E510" s="302">
        <f t="shared" si="70"/>
        <v>200</v>
      </c>
      <c r="F510" s="302">
        <f t="shared" si="71"/>
        <v>200</v>
      </c>
      <c r="G510" s="302"/>
      <c r="H510" s="302"/>
      <c r="I510" s="302"/>
      <c r="J510" s="302"/>
      <c r="K510" s="302"/>
      <c r="L510" s="302"/>
      <c r="M510" s="302">
        <v>200</v>
      </c>
      <c r="N510" s="302"/>
    </row>
    <row r="511" spans="1:14" s="39" customFormat="1" ht="25.5">
      <c r="A511" s="299"/>
      <c r="B511" s="299"/>
      <c r="C511" s="300">
        <v>4440</v>
      </c>
      <c r="D511" s="301" t="s">
        <v>390</v>
      </c>
      <c r="E511" s="302">
        <f t="shared" si="70"/>
        <v>940</v>
      </c>
      <c r="F511" s="302">
        <f t="shared" si="71"/>
        <v>940</v>
      </c>
      <c r="G511" s="302"/>
      <c r="H511" s="302"/>
      <c r="I511" s="302"/>
      <c r="J511" s="302"/>
      <c r="K511" s="302"/>
      <c r="L511" s="302"/>
      <c r="M511" s="302">
        <v>940</v>
      </c>
      <c r="N511" s="302"/>
    </row>
    <row r="512" spans="1:14" s="39" customFormat="1" ht="38.25">
      <c r="A512" s="299"/>
      <c r="B512" s="299"/>
      <c r="C512" s="300">
        <v>4700</v>
      </c>
      <c r="D512" s="301" t="s">
        <v>606</v>
      </c>
      <c r="E512" s="302">
        <f t="shared" si="70"/>
        <v>520</v>
      </c>
      <c r="F512" s="302">
        <f t="shared" si="71"/>
        <v>520</v>
      </c>
      <c r="G512" s="302"/>
      <c r="H512" s="302"/>
      <c r="I512" s="302"/>
      <c r="J512" s="302"/>
      <c r="K512" s="302"/>
      <c r="L512" s="302"/>
      <c r="M512" s="302">
        <v>520</v>
      </c>
      <c r="N512" s="302"/>
    </row>
    <row r="513" spans="1:14" s="39" customFormat="1" ht="51">
      <c r="A513" s="299"/>
      <c r="B513" s="299"/>
      <c r="C513" s="300">
        <v>4740</v>
      </c>
      <c r="D513" s="301" t="s">
        <v>416</v>
      </c>
      <c r="E513" s="302">
        <f t="shared" si="70"/>
        <v>300</v>
      </c>
      <c r="F513" s="302">
        <f t="shared" si="71"/>
        <v>300</v>
      </c>
      <c r="G513" s="302"/>
      <c r="H513" s="302"/>
      <c r="I513" s="302"/>
      <c r="J513" s="302"/>
      <c r="K513" s="302"/>
      <c r="L513" s="302"/>
      <c r="M513" s="302">
        <v>300</v>
      </c>
      <c r="N513" s="302"/>
    </row>
    <row r="514" spans="1:14" s="39" customFormat="1" ht="38.25">
      <c r="A514" s="299"/>
      <c r="B514" s="299"/>
      <c r="C514" s="300">
        <v>4750</v>
      </c>
      <c r="D514" s="301" t="s">
        <v>458</v>
      </c>
      <c r="E514" s="302">
        <f t="shared" si="70"/>
        <v>1000</v>
      </c>
      <c r="F514" s="302">
        <f t="shared" si="71"/>
        <v>1000</v>
      </c>
      <c r="G514" s="302"/>
      <c r="H514" s="302"/>
      <c r="I514" s="302"/>
      <c r="J514" s="302"/>
      <c r="K514" s="302"/>
      <c r="L514" s="302"/>
      <c r="M514" s="302">
        <v>1000</v>
      </c>
      <c r="N514" s="302"/>
    </row>
    <row r="515" spans="1:14" s="62" customFormat="1" ht="12.75">
      <c r="A515" s="295"/>
      <c r="B515" s="295">
        <v>85333</v>
      </c>
      <c r="C515" s="296"/>
      <c r="D515" s="306" t="s">
        <v>500</v>
      </c>
      <c r="E515" s="298">
        <f t="shared" si="70"/>
        <v>2169620</v>
      </c>
      <c r="F515" s="298">
        <f t="shared" si="71"/>
        <v>2169620</v>
      </c>
      <c r="G515" s="298">
        <f>SUM(G516:G544)</f>
        <v>1509904</v>
      </c>
      <c r="H515" s="298">
        <f aca="true" t="shared" si="78" ref="H515:N515">SUM(H516:H544)</f>
        <v>116856</v>
      </c>
      <c r="I515" s="298">
        <f t="shared" si="78"/>
        <v>285480</v>
      </c>
      <c r="J515" s="298">
        <f t="shared" si="78"/>
        <v>0</v>
      </c>
      <c r="K515" s="298">
        <f t="shared" si="78"/>
        <v>0</v>
      </c>
      <c r="L515" s="298">
        <f t="shared" si="78"/>
        <v>9820</v>
      </c>
      <c r="M515" s="298">
        <f t="shared" si="78"/>
        <v>247560</v>
      </c>
      <c r="N515" s="298">
        <f t="shared" si="78"/>
        <v>0</v>
      </c>
    </row>
    <row r="516" spans="1:14" s="39" customFormat="1" ht="25.5">
      <c r="A516" s="299"/>
      <c r="B516" s="299"/>
      <c r="C516" s="300">
        <v>3020</v>
      </c>
      <c r="D516" s="301" t="s">
        <v>607</v>
      </c>
      <c r="E516" s="302">
        <f t="shared" si="70"/>
        <v>1000</v>
      </c>
      <c r="F516" s="302">
        <f t="shared" si="71"/>
        <v>1000</v>
      </c>
      <c r="G516" s="302"/>
      <c r="H516" s="302"/>
      <c r="I516" s="302"/>
      <c r="J516" s="302"/>
      <c r="K516" s="302"/>
      <c r="L516" s="302"/>
      <c r="M516" s="302">
        <v>1000</v>
      </c>
      <c r="N516" s="302"/>
    </row>
    <row r="517" spans="1:14" s="39" customFormat="1" ht="25.5">
      <c r="A517" s="299"/>
      <c r="B517" s="299"/>
      <c r="C517" s="251">
        <v>4010</v>
      </c>
      <c r="D517" s="301" t="s">
        <v>374</v>
      </c>
      <c r="E517" s="302">
        <f t="shared" si="70"/>
        <v>1506700</v>
      </c>
      <c r="F517" s="302">
        <f t="shared" si="71"/>
        <v>1506700</v>
      </c>
      <c r="G517" s="302">
        <f>1445600+61100</f>
        <v>1506700</v>
      </c>
      <c r="H517" s="302"/>
      <c r="I517" s="302"/>
      <c r="J517" s="302"/>
      <c r="K517" s="302"/>
      <c r="L517" s="302"/>
      <c r="M517" s="302"/>
      <c r="N517" s="302"/>
    </row>
    <row r="518" spans="1:14" s="39" customFormat="1" ht="25.5">
      <c r="A518" s="299"/>
      <c r="B518" s="299"/>
      <c r="C518" s="251">
        <v>4018</v>
      </c>
      <c r="D518" s="301" t="s">
        <v>374</v>
      </c>
      <c r="E518" s="302">
        <f>F518+N518</f>
        <v>3204</v>
      </c>
      <c r="F518" s="302">
        <f>SUM(G518:M518)</f>
        <v>3204</v>
      </c>
      <c r="G518" s="302">
        <v>3204</v>
      </c>
      <c r="H518" s="302"/>
      <c r="I518" s="302"/>
      <c r="J518" s="302"/>
      <c r="K518" s="302"/>
      <c r="L518" s="302"/>
      <c r="M518" s="302"/>
      <c r="N518" s="302"/>
    </row>
    <row r="519" spans="1:14" s="39" customFormat="1" ht="25.5">
      <c r="A519" s="299"/>
      <c r="B519" s="299"/>
      <c r="C519" s="300">
        <v>4040</v>
      </c>
      <c r="D519" s="301" t="s">
        <v>375</v>
      </c>
      <c r="E519" s="302">
        <f t="shared" si="70"/>
        <v>113940</v>
      </c>
      <c r="F519" s="302">
        <f t="shared" si="71"/>
        <v>113940</v>
      </c>
      <c r="G519" s="302"/>
      <c r="H519" s="302">
        <v>113940</v>
      </c>
      <c r="I519" s="302"/>
      <c r="J519" s="302"/>
      <c r="K519" s="302"/>
      <c r="L519" s="302"/>
      <c r="M519" s="302"/>
      <c r="N519" s="302"/>
    </row>
    <row r="520" spans="1:14" s="39" customFormat="1" ht="36.75" customHeight="1">
      <c r="A520" s="299"/>
      <c r="B520" s="299"/>
      <c r="C520" s="300">
        <v>4048</v>
      </c>
      <c r="D520" s="301" t="s">
        <v>375</v>
      </c>
      <c r="E520" s="302">
        <f>F520+N520</f>
        <v>2916</v>
      </c>
      <c r="F520" s="302">
        <f>SUM(G520:M520)</f>
        <v>2916</v>
      </c>
      <c r="G520" s="302"/>
      <c r="H520" s="302">
        <v>2916</v>
      </c>
      <c r="I520" s="302"/>
      <c r="J520" s="302"/>
      <c r="K520" s="302"/>
      <c r="L520" s="302"/>
      <c r="M520" s="302"/>
      <c r="N520" s="302"/>
    </row>
    <row r="521" spans="1:14" s="39" customFormat="1" ht="25.5">
      <c r="A521" s="299"/>
      <c r="B521" s="299"/>
      <c r="C521" s="300">
        <v>4110</v>
      </c>
      <c r="D521" s="301" t="s">
        <v>376</v>
      </c>
      <c r="E521" s="302">
        <f t="shared" si="70"/>
        <v>244700</v>
      </c>
      <c r="F521" s="302">
        <f t="shared" si="71"/>
        <v>244700</v>
      </c>
      <c r="G521" s="302"/>
      <c r="H521" s="302"/>
      <c r="I521" s="302">
        <f>235500+9200</f>
        <v>244700</v>
      </c>
      <c r="J521" s="302"/>
      <c r="K521" s="302"/>
      <c r="L521" s="302"/>
      <c r="M521" s="302"/>
      <c r="N521" s="302"/>
    </row>
    <row r="522" spans="1:14" s="39" customFormat="1" ht="25.5">
      <c r="A522" s="299"/>
      <c r="B522" s="299"/>
      <c r="C522" s="300">
        <v>4118</v>
      </c>
      <c r="D522" s="301" t="s">
        <v>376</v>
      </c>
      <c r="E522" s="302">
        <f>F522+N522</f>
        <v>925</v>
      </c>
      <c r="F522" s="302">
        <f>SUM(G522:M522)</f>
        <v>925</v>
      </c>
      <c r="G522" s="302"/>
      <c r="H522" s="302"/>
      <c r="I522" s="302">
        <v>925</v>
      </c>
      <c r="J522" s="302"/>
      <c r="K522" s="302"/>
      <c r="L522" s="302"/>
      <c r="M522" s="302"/>
      <c r="N522" s="302"/>
    </row>
    <row r="523" spans="1:14" s="39" customFormat="1" ht="12.75">
      <c r="A523" s="299"/>
      <c r="B523" s="299"/>
      <c r="C523" s="300">
        <v>4120</v>
      </c>
      <c r="D523" s="301" t="s">
        <v>377</v>
      </c>
      <c r="E523" s="302">
        <f t="shared" si="70"/>
        <v>39700</v>
      </c>
      <c r="F523" s="302">
        <f t="shared" si="71"/>
        <v>39700</v>
      </c>
      <c r="G523" s="302"/>
      <c r="H523" s="302"/>
      <c r="I523" s="302">
        <f>38200+1500</f>
        <v>39700</v>
      </c>
      <c r="J523" s="302"/>
      <c r="K523" s="302"/>
      <c r="L523" s="302"/>
      <c r="M523" s="302"/>
      <c r="N523" s="302"/>
    </row>
    <row r="524" spans="1:14" s="39" customFormat="1" ht="12.75">
      <c r="A524" s="299"/>
      <c r="B524" s="299"/>
      <c r="C524" s="300">
        <v>4128</v>
      </c>
      <c r="D524" s="301" t="s">
        <v>377</v>
      </c>
      <c r="E524" s="302">
        <f>F524+N524</f>
        <v>155</v>
      </c>
      <c r="F524" s="302">
        <f>SUM(G524:M524)</f>
        <v>155</v>
      </c>
      <c r="G524" s="302"/>
      <c r="H524" s="302"/>
      <c r="I524" s="302">
        <v>155</v>
      </c>
      <c r="J524" s="302"/>
      <c r="K524" s="302"/>
      <c r="L524" s="302"/>
      <c r="M524" s="302"/>
      <c r="N524" s="302"/>
    </row>
    <row r="525" spans="1:14" s="39" customFormat="1" ht="12.75">
      <c r="A525" s="299"/>
      <c r="B525" s="299"/>
      <c r="C525" s="300">
        <v>4140</v>
      </c>
      <c r="D525" s="301" t="s">
        <v>471</v>
      </c>
      <c r="E525" s="302">
        <f t="shared" si="70"/>
        <v>15000</v>
      </c>
      <c r="F525" s="302">
        <f>SUM(G525:M525)</f>
        <v>15000</v>
      </c>
      <c r="G525" s="302"/>
      <c r="H525" s="302"/>
      <c r="I525" s="302"/>
      <c r="J525" s="302"/>
      <c r="K525" s="302"/>
      <c r="L525" s="302"/>
      <c r="M525" s="302">
        <v>15000</v>
      </c>
      <c r="N525" s="302"/>
    </row>
    <row r="526" spans="1:14" s="39" customFormat="1" ht="25.5">
      <c r="A526" s="299"/>
      <c r="B526" s="299"/>
      <c r="C526" s="300">
        <v>4210</v>
      </c>
      <c r="D526" s="301" t="s">
        <v>379</v>
      </c>
      <c r="E526" s="302">
        <f t="shared" si="70"/>
        <v>32000</v>
      </c>
      <c r="F526" s="302">
        <f t="shared" si="71"/>
        <v>32000</v>
      </c>
      <c r="G526" s="302"/>
      <c r="H526" s="302"/>
      <c r="I526" s="302"/>
      <c r="J526" s="302"/>
      <c r="K526" s="302"/>
      <c r="L526" s="302"/>
      <c r="M526" s="302">
        <v>32000</v>
      </c>
      <c r="N526" s="302"/>
    </row>
    <row r="527" spans="1:14" s="39" customFormat="1" ht="25.5">
      <c r="A527" s="299"/>
      <c r="B527" s="299"/>
      <c r="C527" s="300">
        <v>4218</v>
      </c>
      <c r="D527" s="301" t="s">
        <v>379</v>
      </c>
      <c r="E527" s="302">
        <f>F527+N527</f>
        <v>0</v>
      </c>
      <c r="F527" s="302">
        <f>SUM(G527:M527)</f>
        <v>0</v>
      </c>
      <c r="G527" s="302"/>
      <c r="H527" s="302"/>
      <c r="I527" s="302"/>
      <c r="J527" s="302"/>
      <c r="K527" s="302"/>
      <c r="L527" s="302"/>
      <c r="M527" s="302"/>
      <c r="N527" s="302"/>
    </row>
    <row r="528" spans="1:14" s="39" customFormat="1" ht="12.75">
      <c r="A528" s="299"/>
      <c r="B528" s="299"/>
      <c r="C528" s="300">
        <v>4260</v>
      </c>
      <c r="D528" s="301" t="s">
        <v>380</v>
      </c>
      <c r="E528" s="302">
        <f t="shared" si="70"/>
        <v>54000</v>
      </c>
      <c r="F528" s="302">
        <f t="shared" si="71"/>
        <v>54000</v>
      </c>
      <c r="G528" s="302"/>
      <c r="H528" s="302"/>
      <c r="I528" s="302"/>
      <c r="J528" s="302"/>
      <c r="K528" s="302"/>
      <c r="L528" s="302"/>
      <c r="M528" s="302">
        <f>44000+10000</f>
        <v>54000</v>
      </c>
      <c r="N528" s="302"/>
    </row>
    <row r="529" spans="1:14" s="39" customFormat="1" ht="12.75">
      <c r="A529" s="299"/>
      <c r="B529" s="299"/>
      <c r="C529" s="300">
        <v>4270</v>
      </c>
      <c r="D529" s="301" t="s">
        <v>381</v>
      </c>
      <c r="E529" s="302">
        <f t="shared" si="70"/>
        <v>7500</v>
      </c>
      <c r="F529" s="302">
        <f t="shared" si="71"/>
        <v>7500</v>
      </c>
      <c r="G529" s="302"/>
      <c r="H529" s="302"/>
      <c r="I529" s="302"/>
      <c r="J529" s="302"/>
      <c r="K529" s="302"/>
      <c r="L529" s="302"/>
      <c r="M529" s="302">
        <v>7500</v>
      </c>
      <c r="N529" s="302"/>
    </row>
    <row r="530" spans="1:14" s="39" customFormat="1" ht="12.75">
      <c r="A530" s="299"/>
      <c r="B530" s="299"/>
      <c r="C530" s="300">
        <v>4280</v>
      </c>
      <c r="D530" s="301" t="s">
        <v>501</v>
      </c>
      <c r="E530" s="302">
        <f t="shared" si="70"/>
        <v>1200</v>
      </c>
      <c r="F530" s="302">
        <f t="shared" si="71"/>
        <v>1200</v>
      </c>
      <c r="G530" s="302"/>
      <c r="H530" s="302"/>
      <c r="I530" s="302"/>
      <c r="J530" s="302"/>
      <c r="K530" s="302"/>
      <c r="L530" s="302"/>
      <c r="M530" s="302">
        <v>1200</v>
      </c>
      <c r="N530" s="302"/>
    </row>
    <row r="531" spans="1:14" s="39" customFormat="1" ht="12.75">
      <c r="A531" s="299"/>
      <c r="B531" s="299"/>
      <c r="C531" s="300">
        <v>4300</v>
      </c>
      <c r="D531" s="301" t="s">
        <v>502</v>
      </c>
      <c r="E531" s="302">
        <f t="shared" si="70"/>
        <v>11000</v>
      </c>
      <c r="F531" s="302">
        <f t="shared" si="71"/>
        <v>11000</v>
      </c>
      <c r="G531" s="302"/>
      <c r="H531" s="302"/>
      <c r="I531" s="302"/>
      <c r="J531" s="302"/>
      <c r="K531" s="302"/>
      <c r="L531" s="302"/>
      <c r="M531" s="302">
        <v>11000</v>
      </c>
      <c r="N531" s="302"/>
    </row>
    <row r="532" spans="1:14" s="39" customFormat="1" ht="12.75">
      <c r="A532" s="299"/>
      <c r="B532" s="299"/>
      <c r="C532" s="300">
        <v>4308</v>
      </c>
      <c r="D532" s="301" t="s">
        <v>502</v>
      </c>
      <c r="E532" s="302">
        <f>F532+N532</f>
        <v>9820</v>
      </c>
      <c r="F532" s="302">
        <f>SUM(G532:M532)</f>
        <v>9820</v>
      </c>
      <c r="G532" s="302"/>
      <c r="H532" s="302"/>
      <c r="I532" s="302"/>
      <c r="J532" s="302"/>
      <c r="K532" s="302"/>
      <c r="L532" s="302">
        <v>9820</v>
      </c>
      <c r="M532" s="302"/>
      <c r="N532" s="302"/>
    </row>
    <row r="533" spans="1:14" s="39" customFormat="1" ht="46.5" customHeight="1">
      <c r="A533" s="299"/>
      <c r="B533" s="299"/>
      <c r="C533" s="300">
        <v>4360</v>
      </c>
      <c r="D533" s="301" t="s">
        <v>464</v>
      </c>
      <c r="E533" s="302">
        <f aca="true" t="shared" si="79" ref="E533:E626">F533+N533</f>
        <v>1700</v>
      </c>
      <c r="F533" s="302">
        <f aca="true" t="shared" si="80" ref="F533:F626">SUM(G533:M533)</f>
        <v>1700</v>
      </c>
      <c r="G533" s="302"/>
      <c r="H533" s="302"/>
      <c r="I533" s="302"/>
      <c r="J533" s="302"/>
      <c r="K533" s="302"/>
      <c r="L533" s="302"/>
      <c r="M533" s="302">
        <v>1700</v>
      </c>
      <c r="N533" s="302"/>
    </row>
    <row r="534" spans="1:14" s="39" customFormat="1" ht="38.25">
      <c r="A534" s="299"/>
      <c r="B534" s="299"/>
      <c r="C534" s="300">
        <v>4370</v>
      </c>
      <c r="D534" s="301" t="s">
        <v>457</v>
      </c>
      <c r="E534" s="302">
        <f t="shared" si="79"/>
        <v>8700</v>
      </c>
      <c r="F534" s="302">
        <f t="shared" si="80"/>
        <v>8700</v>
      </c>
      <c r="G534" s="302"/>
      <c r="H534" s="302"/>
      <c r="I534" s="302"/>
      <c r="J534" s="302"/>
      <c r="K534" s="302"/>
      <c r="L534" s="302"/>
      <c r="M534" s="302">
        <v>8700</v>
      </c>
      <c r="N534" s="302"/>
    </row>
    <row r="535" spans="1:14" s="39" customFormat="1" ht="38.25">
      <c r="A535" s="299"/>
      <c r="B535" s="299"/>
      <c r="C535" s="300">
        <v>4400</v>
      </c>
      <c r="D535" s="301" t="s">
        <v>106</v>
      </c>
      <c r="E535" s="302">
        <f t="shared" si="79"/>
        <v>46700</v>
      </c>
      <c r="F535" s="302">
        <f t="shared" si="80"/>
        <v>46700</v>
      </c>
      <c r="G535" s="302"/>
      <c r="H535" s="302"/>
      <c r="I535" s="302"/>
      <c r="J535" s="302"/>
      <c r="K535" s="302"/>
      <c r="L535" s="302"/>
      <c r="M535" s="302">
        <v>46700</v>
      </c>
      <c r="N535" s="302"/>
    </row>
    <row r="536" spans="1:14" s="39" customFormat="1" ht="12.75">
      <c r="A536" s="299"/>
      <c r="B536" s="299"/>
      <c r="C536" s="300">
        <v>4410</v>
      </c>
      <c r="D536" s="301" t="s">
        <v>388</v>
      </c>
      <c r="E536" s="302">
        <f t="shared" si="79"/>
        <v>500</v>
      </c>
      <c r="F536" s="302">
        <f t="shared" si="80"/>
        <v>500</v>
      </c>
      <c r="G536" s="302"/>
      <c r="H536" s="302"/>
      <c r="I536" s="302"/>
      <c r="J536" s="302"/>
      <c r="K536" s="302"/>
      <c r="L536" s="302"/>
      <c r="M536" s="302">
        <v>500</v>
      </c>
      <c r="N536" s="302"/>
    </row>
    <row r="537" spans="1:14" s="39" customFormat="1" ht="12.75">
      <c r="A537" s="299"/>
      <c r="B537" s="299"/>
      <c r="C537" s="300">
        <v>4430</v>
      </c>
      <c r="D537" s="301" t="s">
        <v>389</v>
      </c>
      <c r="E537" s="302">
        <f t="shared" si="79"/>
        <v>6000</v>
      </c>
      <c r="F537" s="302">
        <f t="shared" si="80"/>
        <v>6000</v>
      </c>
      <c r="G537" s="302"/>
      <c r="H537" s="302"/>
      <c r="I537" s="302"/>
      <c r="J537" s="302"/>
      <c r="K537" s="302"/>
      <c r="L537" s="302"/>
      <c r="M537" s="302">
        <v>6000</v>
      </c>
      <c r="N537" s="302"/>
    </row>
    <row r="538" spans="1:14" s="39" customFormat="1" ht="48" customHeight="1">
      <c r="A538" s="299"/>
      <c r="B538" s="299"/>
      <c r="C538" s="300">
        <v>4440</v>
      </c>
      <c r="D538" s="301" t="s">
        <v>390</v>
      </c>
      <c r="E538" s="302">
        <f t="shared" si="79"/>
        <v>54050</v>
      </c>
      <c r="F538" s="302">
        <f t="shared" si="80"/>
        <v>54050</v>
      </c>
      <c r="G538" s="302"/>
      <c r="H538" s="302"/>
      <c r="I538" s="302"/>
      <c r="J538" s="302"/>
      <c r="K538" s="302"/>
      <c r="L538" s="302"/>
      <c r="M538" s="302">
        <v>54050</v>
      </c>
      <c r="N538" s="302"/>
    </row>
    <row r="539" spans="1:14" s="39" customFormat="1" ht="25.5" hidden="1">
      <c r="A539" s="299"/>
      <c r="B539" s="299"/>
      <c r="C539" s="300">
        <v>4448</v>
      </c>
      <c r="D539" s="301" t="s">
        <v>390</v>
      </c>
      <c r="E539" s="302">
        <f>F539+N539</f>
        <v>0</v>
      </c>
      <c r="F539" s="302">
        <f>SUM(G539:M539)</f>
        <v>0</v>
      </c>
      <c r="G539" s="302"/>
      <c r="H539" s="302"/>
      <c r="I539" s="302"/>
      <c r="J539" s="302"/>
      <c r="K539" s="302"/>
      <c r="L539" s="302"/>
      <c r="M539" s="302"/>
      <c r="N539" s="302"/>
    </row>
    <row r="540" spans="1:14" s="39" customFormat="1" ht="12.75">
      <c r="A540" s="299"/>
      <c r="B540" s="299"/>
      <c r="C540" s="300">
        <v>4480</v>
      </c>
      <c r="D540" s="301" t="s">
        <v>391</v>
      </c>
      <c r="E540" s="302">
        <f t="shared" si="79"/>
        <v>4500</v>
      </c>
      <c r="F540" s="302">
        <f t="shared" si="80"/>
        <v>4500</v>
      </c>
      <c r="G540" s="302"/>
      <c r="H540" s="302"/>
      <c r="I540" s="302"/>
      <c r="J540" s="302"/>
      <c r="K540" s="302"/>
      <c r="L540" s="302"/>
      <c r="M540" s="302">
        <v>4500</v>
      </c>
      <c r="N540" s="302"/>
    </row>
    <row r="541" spans="1:14" s="39" customFormat="1" ht="41.25" customHeight="1">
      <c r="A541" s="299"/>
      <c r="B541" s="299"/>
      <c r="C541" s="300">
        <v>4520</v>
      </c>
      <c r="D541" s="301" t="s">
        <v>518</v>
      </c>
      <c r="E541" s="302">
        <f t="shared" si="79"/>
        <v>110</v>
      </c>
      <c r="F541" s="302">
        <f t="shared" si="80"/>
        <v>110</v>
      </c>
      <c r="G541" s="302"/>
      <c r="H541" s="302"/>
      <c r="I541" s="302"/>
      <c r="J541" s="302"/>
      <c r="K541" s="302"/>
      <c r="L541" s="302"/>
      <c r="M541" s="302">
        <v>110</v>
      </c>
      <c r="N541" s="302"/>
    </row>
    <row r="542" spans="1:14" s="39" customFormat="1" ht="38.25">
      <c r="A542" s="299"/>
      <c r="B542" s="299"/>
      <c r="C542" s="300">
        <v>4700</v>
      </c>
      <c r="D542" s="301" t="s">
        <v>606</v>
      </c>
      <c r="E542" s="302">
        <f t="shared" si="79"/>
        <v>3000</v>
      </c>
      <c r="F542" s="302">
        <f t="shared" si="80"/>
        <v>3000</v>
      </c>
      <c r="G542" s="302"/>
      <c r="H542" s="302"/>
      <c r="I542" s="302"/>
      <c r="J542" s="302"/>
      <c r="K542" s="302"/>
      <c r="L542" s="302"/>
      <c r="M542" s="302">
        <v>3000</v>
      </c>
      <c r="N542" s="302"/>
    </row>
    <row r="543" spans="1:14" s="39" customFormat="1" ht="51">
      <c r="A543" s="299"/>
      <c r="B543" s="299"/>
      <c r="C543" s="300">
        <v>4740</v>
      </c>
      <c r="D543" s="301" t="s">
        <v>416</v>
      </c>
      <c r="E543" s="302">
        <f t="shared" si="79"/>
        <v>600</v>
      </c>
      <c r="F543" s="302">
        <f t="shared" si="80"/>
        <v>600</v>
      </c>
      <c r="G543" s="302"/>
      <c r="H543" s="302"/>
      <c r="I543" s="302"/>
      <c r="J543" s="302"/>
      <c r="K543" s="302"/>
      <c r="L543" s="302"/>
      <c r="M543" s="302">
        <v>600</v>
      </c>
      <c r="N543" s="302"/>
    </row>
    <row r="544" spans="1:14" s="39" customFormat="1" ht="38.25" hidden="1">
      <c r="A544" s="299"/>
      <c r="B544" s="299"/>
      <c r="C544" s="300">
        <v>4758</v>
      </c>
      <c r="D544" s="301" t="s">
        <v>458</v>
      </c>
      <c r="E544" s="302">
        <f>F544+N544</f>
        <v>0</v>
      </c>
      <c r="F544" s="302">
        <f>SUM(G544:M544)</f>
        <v>0</v>
      </c>
      <c r="G544" s="302"/>
      <c r="H544" s="302"/>
      <c r="I544" s="302"/>
      <c r="J544" s="302"/>
      <c r="K544" s="302"/>
      <c r="L544" s="302"/>
      <c r="M544" s="302"/>
      <c r="N544" s="302"/>
    </row>
    <row r="545" spans="1:14" s="39" customFormat="1" ht="12.75" hidden="1">
      <c r="A545" s="299"/>
      <c r="B545" s="321">
        <v>85334</v>
      </c>
      <c r="C545" s="296"/>
      <c r="D545" s="322" t="s">
        <v>644</v>
      </c>
      <c r="E545" s="298">
        <f>F545+N545</f>
        <v>0</v>
      </c>
      <c r="F545" s="298">
        <f>SUM(G545:M545)</f>
        <v>0</v>
      </c>
      <c r="G545" s="298">
        <f>SUM(G546)</f>
        <v>0</v>
      </c>
      <c r="H545" s="298">
        <f aca="true" t="shared" si="81" ref="H545:N545">SUM(H546)</f>
        <v>0</v>
      </c>
      <c r="I545" s="298">
        <f t="shared" si="81"/>
        <v>0</v>
      </c>
      <c r="J545" s="298">
        <f t="shared" si="81"/>
        <v>0</v>
      </c>
      <c r="K545" s="298">
        <f t="shared" si="81"/>
        <v>0</v>
      </c>
      <c r="L545" s="298">
        <f t="shared" si="81"/>
        <v>0</v>
      </c>
      <c r="M545" s="298">
        <f t="shared" si="81"/>
        <v>0</v>
      </c>
      <c r="N545" s="298">
        <f t="shared" si="81"/>
        <v>0</v>
      </c>
    </row>
    <row r="546" spans="1:14" s="39" customFormat="1" ht="12.75" hidden="1">
      <c r="A546" s="299"/>
      <c r="B546" s="299"/>
      <c r="C546" s="323">
        <v>3110</v>
      </c>
      <c r="D546" s="309" t="s">
        <v>483</v>
      </c>
      <c r="E546" s="302">
        <f>F546+N546</f>
        <v>0</v>
      </c>
      <c r="F546" s="302">
        <f>SUM(G546:M546)</f>
        <v>0</v>
      </c>
      <c r="G546" s="302"/>
      <c r="H546" s="302"/>
      <c r="I546" s="302"/>
      <c r="J546" s="302"/>
      <c r="K546" s="302"/>
      <c r="L546" s="302"/>
      <c r="M546" s="302"/>
      <c r="N546" s="302"/>
    </row>
    <row r="547" spans="1:14" s="39" customFormat="1" ht="12.75">
      <c r="A547" s="299"/>
      <c r="B547" s="316">
        <v>85395</v>
      </c>
      <c r="C547" s="324"/>
      <c r="D547" s="306" t="s">
        <v>496</v>
      </c>
      <c r="E547" s="298">
        <f>F547+N547</f>
        <v>3066378</v>
      </c>
      <c r="F547" s="298">
        <f>SUM(G547:M547)</f>
        <v>3059178</v>
      </c>
      <c r="G547" s="302">
        <f>SUM(G548:G579)</f>
        <v>0</v>
      </c>
      <c r="H547" s="302">
        <f aca="true" t="shared" si="82" ref="H547:N547">SUM(H548:H579)</f>
        <v>0</v>
      </c>
      <c r="I547" s="302">
        <f t="shared" si="82"/>
        <v>134725</v>
      </c>
      <c r="J547" s="302">
        <f t="shared" si="82"/>
        <v>864085</v>
      </c>
      <c r="K547" s="302">
        <f t="shared" si="82"/>
        <v>0</v>
      </c>
      <c r="L547" s="302">
        <f t="shared" si="82"/>
        <v>2060368</v>
      </c>
      <c r="M547" s="302">
        <f t="shared" si="82"/>
        <v>0</v>
      </c>
      <c r="N547" s="302">
        <f t="shared" si="82"/>
        <v>7200</v>
      </c>
    </row>
    <row r="548" spans="1:16" s="39" customFormat="1" ht="63.75">
      <c r="A548" s="299"/>
      <c r="B548" s="75"/>
      <c r="C548" s="325">
        <v>2318</v>
      </c>
      <c r="D548" s="326" t="s">
        <v>655</v>
      </c>
      <c r="E548" s="298">
        <f aca="true" t="shared" si="83" ref="E548:E579">F548+N548</f>
        <v>1493</v>
      </c>
      <c r="F548" s="298">
        <f aca="true" t="shared" si="84" ref="F548:F579">SUM(G548:M548)</f>
        <v>1493</v>
      </c>
      <c r="G548" s="302"/>
      <c r="H548" s="302"/>
      <c r="I548" s="302"/>
      <c r="J548" s="327">
        <v>1493</v>
      </c>
      <c r="K548" s="302"/>
      <c r="L548" s="302"/>
      <c r="M548" s="302"/>
      <c r="N548" s="302"/>
      <c r="P548" s="380">
        <f>3066378-E547</f>
        <v>0</v>
      </c>
    </row>
    <row r="549" spans="1:14" s="39" customFormat="1" ht="75.75" customHeight="1">
      <c r="A549" s="299"/>
      <c r="B549" s="75"/>
      <c r="C549" s="325">
        <v>2319</v>
      </c>
      <c r="D549" s="326" t="s">
        <v>656</v>
      </c>
      <c r="E549" s="298">
        <f t="shared" si="83"/>
        <v>264</v>
      </c>
      <c r="F549" s="298">
        <f t="shared" si="84"/>
        <v>264</v>
      </c>
      <c r="G549" s="302"/>
      <c r="H549" s="302"/>
      <c r="I549" s="302"/>
      <c r="J549" s="327">
        <v>264</v>
      </c>
      <c r="K549" s="302"/>
      <c r="L549" s="302"/>
      <c r="M549" s="302"/>
      <c r="N549" s="302"/>
    </row>
    <row r="550" spans="1:14" s="39" customFormat="1" ht="73.5" customHeight="1">
      <c r="A550" s="299"/>
      <c r="B550" s="75"/>
      <c r="C550" s="325">
        <v>2328</v>
      </c>
      <c r="D550" s="326" t="s">
        <v>401</v>
      </c>
      <c r="E550" s="298">
        <f>F550+N550</f>
        <v>732979</v>
      </c>
      <c r="F550" s="298">
        <f>SUM(G550:M550)</f>
        <v>732979</v>
      </c>
      <c r="G550" s="302"/>
      <c r="H550" s="302"/>
      <c r="I550" s="302"/>
      <c r="J550" s="327">
        <v>732979</v>
      </c>
      <c r="K550" s="302"/>
      <c r="L550" s="302"/>
      <c r="M550" s="302"/>
      <c r="N550" s="302"/>
    </row>
    <row r="551" spans="1:14" s="39" customFormat="1" ht="70.5" customHeight="1">
      <c r="A551" s="299"/>
      <c r="B551" s="75"/>
      <c r="C551" s="325">
        <v>2329</v>
      </c>
      <c r="D551" s="326" t="s">
        <v>401</v>
      </c>
      <c r="E551" s="298">
        <f>F551+N551</f>
        <v>129349</v>
      </c>
      <c r="F551" s="298">
        <f>SUM(G551:M551)</f>
        <v>129349</v>
      </c>
      <c r="G551" s="302"/>
      <c r="H551" s="302"/>
      <c r="I551" s="302"/>
      <c r="J551" s="327">
        <v>129349</v>
      </c>
      <c r="K551" s="302"/>
      <c r="L551" s="302"/>
      <c r="M551" s="302"/>
      <c r="N551" s="302"/>
    </row>
    <row r="552" spans="1:14" s="39" customFormat="1" ht="25.5">
      <c r="A552" s="299"/>
      <c r="B552" s="75"/>
      <c r="C552" s="324">
        <v>4118</v>
      </c>
      <c r="D552" s="326" t="s">
        <v>453</v>
      </c>
      <c r="E552" s="298">
        <f t="shared" si="83"/>
        <v>98714</v>
      </c>
      <c r="F552" s="298">
        <f t="shared" si="84"/>
        <v>98714</v>
      </c>
      <c r="G552" s="302"/>
      <c r="H552" s="302"/>
      <c r="I552" s="328">
        <v>98714</v>
      </c>
      <c r="J552" s="302"/>
      <c r="K552" s="302"/>
      <c r="L552" s="302"/>
      <c r="M552" s="302"/>
      <c r="N552" s="302"/>
    </row>
    <row r="553" spans="1:14" s="39" customFormat="1" ht="25.5">
      <c r="A553" s="299"/>
      <c r="B553" s="75"/>
      <c r="C553" s="324">
        <v>4119</v>
      </c>
      <c r="D553" s="326" t="s">
        <v>453</v>
      </c>
      <c r="E553" s="298">
        <f t="shared" si="83"/>
        <v>17409</v>
      </c>
      <c r="F553" s="298">
        <f t="shared" si="84"/>
        <v>17409</v>
      </c>
      <c r="G553" s="302"/>
      <c r="H553" s="302"/>
      <c r="I553" s="328">
        <v>17409</v>
      </c>
      <c r="J553" s="302"/>
      <c r="K553" s="302"/>
      <c r="L553" s="302"/>
      <c r="M553" s="302"/>
      <c r="N553" s="302"/>
    </row>
    <row r="554" spans="1:14" s="39" customFormat="1" ht="12.75">
      <c r="A554" s="299"/>
      <c r="B554" s="75"/>
      <c r="C554" s="324">
        <v>4128</v>
      </c>
      <c r="D554" s="326" t="s">
        <v>455</v>
      </c>
      <c r="E554" s="298">
        <f t="shared" si="83"/>
        <v>15811</v>
      </c>
      <c r="F554" s="298">
        <f t="shared" si="84"/>
        <v>15811</v>
      </c>
      <c r="G554" s="302"/>
      <c r="H554" s="302"/>
      <c r="I554" s="328">
        <v>15811</v>
      </c>
      <c r="J554" s="302"/>
      <c r="K554" s="302"/>
      <c r="L554" s="302"/>
      <c r="M554" s="302"/>
      <c r="N554" s="302"/>
    </row>
    <row r="555" spans="1:14" s="39" customFormat="1" ht="12.75">
      <c r="A555" s="299"/>
      <c r="B555" s="75"/>
      <c r="C555" s="324">
        <v>4129</v>
      </c>
      <c r="D555" s="326" t="s">
        <v>455</v>
      </c>
      <c r="E555" s="298">
        <f t="shared" si="83"/>
        <v>2791</v>
      </c>
      <c r="F555" s="298">
        <f t="shared" si="84"/>
        <v>2791</v>
      </c>
      <c r="G555" s="302"/>
      <c r="H555" s="302"/>
      <c r="I555" s="328">
        <v>2791</v>
      </c>
      <c r="J555" s="302"/>
      <c r="K555" s="302"/>
      <c r="L555" s="302"/>
      <c r="M555" s="302"/>
      <c r="N555" s="302"/>
    </row>
    <row r="556" spans="1:14" s="39" customFormat="1" ht="30" customHeight="1">
      <c r="A556" s="299"/>
      <c r="B556" s="75"/>
      <c r="C556" s="324">
        <v>4178</v>
      </c>
      <c r="D556" s="326" t="s">
        <v>413</v>
      </c>
      <c r="E556" s="298">
        <f t="shared" si="83"/>
        <v>670357</v>
      </c>
      <c r="F556" s="298">
        <f t="shared" si="84"/>
        <v>670357</v>
      </c>
      <c r="G556" s="302"/>
      <c r="H556" s="302"/>
      <c r="I556" s="302"/>
      <c r="J556" s="302"/>
      <c r="K556" s="302"/>
      <c r="L556" s="328">
        <v>670357</v>
      </c>
      <c r="M556" s="302"/>
      <c r="N556" s="302"/>
    </row>
    <row r="557" spans="1:14" s="39" customFormat="1" ht="27.75" customHeight="1">
      <c r="A557" s="299"/>
      <c r="B557" s="75"/>
      <c r="C557" s="324">
        <v>4179</v>
      </c>
      <c r="D557" s="326" t="s">
        <v>413</v>
      </c>
      <c r="E557" s="298">
        <f t="shared" si="83"/>
        <v>107870</v>
      </c>
      <c r="F557" s="298">
        <f t="shared" si="84"/>
        <v>107870</v>
      </c>
      <c r="G557" s="302"/>
      <c r="H557" s="302"/>
      <c r="I557" s="302"/>
      <c r="J557" s="302"/>
      <c r="K557" s="302"/>
      <c r="L557" s="328">
        <v>107870</v>
      </c>
      <c r="M557" s="302"/>
      <c r="N557" s="302"/>
    </row>
    <row r="558" spans="1:14" s="39" customFormat="1" ht="25.5">
      <c r="A558" s="299"/>
      <c r="B558" s="75"/>
      <c r="C558" s="324">
        <v>4218</v>
      </c>
      <c r="D558" s="326" t="s">
        <v>379</v>
      </c>
      <c r="E558" s="298">
        <f t="shared" si="83"/>
        <v>91849</v>
      </c>
      <c r="F558" s="298">
        <f t="shared" si="84"/>
        <v>91849</v>
      </c>
      <c r="G558" s="302"/>
      <c r="H558" s="302"/>
      <c r="I558" s="302"/>
      <c r="J558" s="302"/>
      <c r="K558" s="302"/>
      <c r="L558" s="328">
        <v>91849</v>
      </c>
      <c r="M558" s="302"/>
      <c r="N558" s="302"/>
    </row>
    <row r="559" spans="1:17" s="39" customFormat="1" ht="25.5">
      <c r="A559" s="299"/>
      <c r="B559" s="75"/>
      <c r="C559" s="324">
        <v>4219</v>
      </c>
      <c r="D559" s="326" t="s">
        <v>379</v>
      </c>
      <c r="E559" s="298">
        <f t="shared" si="83"/>
        <v>16209</v>
      </c>
      <c r="F559" s="298">
        <f t="shared" si="84"/>
        <v>16209</v>
      </c>
      <c r="G559" s="302"/>
      <c r="H559" s="302"/>
      <c r="I559" s="302"/>
      <c r="J559" s="302"/>
      <c r="K559" s="302"/>
      <c r="L559" s="328">
        <v>16209</v>
      </c>
      <c r="M559" s="302"/>
      <c r="N559" s="302"/>
      <c r="Q559" s="39">
        <f>1477+261</f>
        <v>1738</v>
      </c>
    </row>
    <row r="560" spans="1:14" s="39" customFormat="1" ht="12.75">
      <c r="A560" s="299"/>
      <c r="B560" s="299"/>
      <c r="C560" s="300">
        <v>4268</v>
      </c>
      <c r="D560" s="301" t="s">
        <v>380</v>
      </c>
      <c r="E560" s="302">
        <f t="shared" si="83"/>
        <v>1477</v>
      </c>
      <c r="F560" s="302">
        <f t="shared" si="84"/>
        <v>1477</v>
      </c>
      <c r="G560" s="302"/>
      <c r="H560" s="302"/>
      <c r="I560" s="302"/>
      <c r="J560" s="302"/>
      <c r="K560" s="302"/>
      <c r="L560" s="302">
        <v>1477</v>
      </c>
      <c r="M560" s="302"/>
      <c r="N560" s="302"/>
    </row>
    <row r="561" spans="1:14" s="39" customFormat="1" ht="12.75">
      <c r="A561" s="299"/>
      <c r="B561" s="299"/>
      <c r="C561" s="300">
        <v>4269</v>
      </c>
      <c r="D561" s="301" t="s">
        <v>380</v>
      </c>
      <c r="E561" s="302">
        <f t="shared" si="83"/>
        <v>261</v>
      </c>
      <c r="F561" s="302">
        <f t="shared" si="84"/>
        <v>261</v>
      </c>
      <c r="G561" s="302"/>
      <c r="H561" s="302"/>
      <c r="I561" s="302"/>
      <c r="J561" s="302"/>
      <c r="K561" s="302"/>
      <c r="L561" s="302">
        <v>261</v>
      </c>
      <c r="M561" s="302"/>
      <c r="N561" s="302"/>
    </row>
    <row r="562" spans="1:14" s="39" customFormat="1" ht="12.75">
      <c r="A562" s="299"/>
      <c r="B562" s="75"/>
      <c r="C562" s="324">
        <v>4308</v>
      </c>
      <c r="D562" s="326" t="s">
        <v>362</v>
      </c>
      <c r="E562" s="298">
        <f t="shared" si="83"/>
        <v>911055</v>
      </c>
      <c r="F562" s="298">
        <f t="shared" si="84"/>
        <v>911055</v>
      </c>
      <c r="G562" s="302"/>
      <c r="H562" s="302"/>
      <c r="I562" s="302"/>
      <c r="J562" s="302"/>
      <c r="K562" s="302"/>
      <c r="L562" s="328">
        <v>911055</v>
      </c>
      <c r="M562" s="302"/>
      <c r="N562" s="302"/>
    </row>
    <row r="563" spans="1:14" s="39" customFormat="1" ht="12.75">
      <c r="A563" s="299"/>
      <c r="B563" s="75"/>
      <c r="C563" s="324">
        <v>4309</v>
      </c>
      <c r="D563" s="326" t="s">
        <v>362</v>
      </c>
      <c r="E563" s="298">
        <f t="shared" si="83"/>
        <v>150023</v>
      </c>
      <c r="F563" s="298">
        <f t="shared" si="84"/>
        <v>150023</v>
      </c>
      <c r="G563" s="302"/>
      <c r="H563" s="302"/>
      <c r="I563" s="302"/>
      <c r="J563" s="302"/>
      <c r="K563" s="302"/>
      <c r="L563" s="328">
        <v>150023</v>
      </c>
      <c r="M563" s="302"/>
      <c r="N563" s="302"/>
    </row>
    <row r="564" spans="1:14" s="39" customFormat="1" ht="24">
      <c r="A564" s="299"/>
      <c r="B564" s="75"/>
      <c r="C564" s="390">
        <v>4358</v>
      </c>
      <c r="D564" s="391" t="s">
        <v>383</v>
      </c>
      <c r="E564" s="298">
        <f aca="true" t="shared" si="85" ref="E564:E569">F564+N564</f>
        <v>739</v>
      </c>
      <c r="F564" s="298">
        <f aca="true" t="shared" si="86" ref="F564:F569">SUM(G564:M564)</f>
        <v>739</v>
      </c>
      <c r="G564" s="302"/>
      <c r="H564" s="302"/>
      <c r="I564" s="302"/>
      <c r="J564" s="302"/>
      <c r="K564" s="302"/>
      <c r="L564" s="394">
        <v>739</v>
      </c>
      <c r="M564" s="302"/>
      <c r="N564" s="302"/>
    </row>
    <row r="565" spans="1:14" s="39" customFormat="1" ht="24">
      <c r="A565" s="299"/>
      <c r="B565" s="75"/>
      <c r="C565" s="390">
        <v>4359</v>
      </c>
      <c r="D565" s="391" t="s">
        <v>383</v>
      </c>
      <c r="E565" s="298">
        <f t="shared" si="85"/>
        <v>130</v>
      </c>
      <c r="F565" s="298">
        <f t="shared" si="86"/>
        <v>130</v>
      </c>
      <c r="G565" s="302"/>
      <c r="H565" s="302"/>
      <c r="I565" s="302"/>
      <c r="J565" s="302"/>
      <c r="K565" s="302"/>
      <c r="L565" s="394">
        <v>130</v>
      </c>
      <c r="M565" s="302"/>
      <c r="N565" s="302"/>
    </row>
    <row r="566" spans="1:14" s="39" customFormat="1" ht="36">
      <c r="A566" s="299"/>
      <c r="B566" s="75"/>
      <c r="C566" s="390">
        <v>4368</v>
      </c>
      <c r="D566" s="391" t="s">
        <v>464</v>
      </c>
      <c r="E566" s="298">
        <f t="shared" si="85"/>
        <v>2489</v>
      </c>
      <c r="F566" s="298">
        <f t="shared" si="86"/>
        <v>2489</v>
      </c>
      <c r="G566" s="302"/>
      <c r="H566" s="302"/>
      <c r="I566" s="302"/>
      <c r="J566" s="302"/>
      <c r="K566" s="302"/>
      <c r="L566" s="395">
        <v>2489</v>
      </c>
      <c r="M566" s="302"/>
      <c r="N566" s="302"/>
    </row>
    <row r="567" spans="1:14" s="39" customFormat="1" ht="36">
      <c r="A567" s="299"/>
      <c r="B567" s="75"/>
      <c r="C567" s="390">
        <v>4369</v>
      </c>
      <c r="D567" s="391" t="s">
        <v>464</v>
      </c>
      <c r="E567" s="298">
        <f t="shared" si="85"/>
        <v>439</v>
      </c>
      <c r="F567" s="298">
        <f t="shared" si="86"/>
        <v>439</v>
      </c>
      <c r="G567" s="302"/>
      <c r="H567" s="302"/>
      <c r="I567" s="302"/>
      <c r="J567" s="302"/>
      <c r="K567" s="302"/>
      <c r="L567" s="395">
        <v>439</v>
      </c>
      <c r="M567" s="302"/>
      <c r="N567" s="302"/>
    </row>
    <row r="568" spans="1:14" s="39" customFormat="1" ht="36">
      <c r="A568" s="299"/>
      <c r="B568" s="75"/>
      <c r="C568" s="390">
        <v>4378</v>
      </c>
      <c r="D568" s="391" t="s">
        <v>457</v>
      </c>
      <c r="E568" s="298">
        <f t="shared" si="85"/>
        <v>2959</v>
      </c>
      <c r="F568" s="298">
        <f t="shared" si="86"/>
        <v>2959</v>
      </c>
      <c r="G568" s="302"/>
      <c r="H568" s="302"/>
      <c r="I568" s="302"/>
      <c r="J568" s="302"/>
      <c r="K568" s="302"/>
      <c r="L568" s="395">
        <v>2959</v>
      </c>
      <c r="M568" s="302"/>
      <c r="N568" s="302"/>
    </row>
    <row r="569" spans="1:14" s="39" customFormat="1" ht="36">
      <c r="A569" s="299"/>
      <c r="B569" s="75"/>
      <c r="C569" s="390">
        <v>4379</v>
      </c>
      <c r="D569" s="391" t="s">
        <v>457</v>
      </c>
      <c r="E569" s="298">
        <f t="shared" si="85"/>
        <v>522</v>
      </c>
      <c r="F569" s="298">
        <f t="shared" si="86"/>
        <v>522</v>
      </c>
      <c r="G569" s="302"/>
      <c r="H569" s="302"/>
      <c r="I569" s="302"/>
      <c r="J569" s="302"/>
      <c r="K569" s="302"/>
      <c r="L569" s="395">
        <v>522</v>
      </c>
      <c r="M569" s="302"/>
      <c r="N569" s="302"/>
    </row>
    <row r="570" spans="1:14" s="39" customFormat="1" ht="12.75">
      <c r="A570" s="299"/>
      <c r="B570" s="75"/>
      <c r="C570" s="324">
        <v>4419</v>
      </c>
      <c r="D570" s="326" t="s">
        <v>388</v>
      </c>
      <c r="E570" s="298">
        <f>F570+N570</f>
        <v>65198</v>
      </c>
      <c r="F570" s="298">
        <f>SUM(G570:M570)</f>
        <v>65198</v>
      </c>
      <c r="G570" s="302"/>
      <c r="H570" s="302"/>
      <c r="I570" s="302"/>
      <c r="J570" s="302"/>
      <c r="K570" s="302"/>
      <c r="L570" s="328">
        <v>65198</v>
      </c>
      <c r="M570" s="302"/>
      <c r="N570" s="302"/>
    </row>
    <row r="571" spans="1:14" s="39" customFormat="1" ht="12.75">
      <c r="A571" s="299"/>
      <c r="B571" s="75"/>
      <c r="C571" s="324">
        <v>4418</v>
      </c>
      <c r="D571" s="326" t="s">
        <v>388</v>
      </c>
      <c r="E571" s="298">
        <f>F571+N571</f>
        <v>11506</v>
      </c>
      <c r="F571" s="298">
        <f>SUM(G571:M571)</f>
        <v>11506</v>
      </c>
      <c r="G571" s="302"/>
      <c r="H571" s="302"/>
      <c r="I571" s="302"/>
      <c r="J571" s="302"/>
      <c r="K571" s="302"/>
      <c r="L571" s="328">
        <v>11506</v>
      </c>
      <c r="M571" s="302"/>
      <c r="N571" s="302"/>
    </row>
    <row r="572" spans="1:14" s="39" customFormat="1" ht="63.75" customHeight="1">
      <c r="A572" s="299"/>
      <c r="B572" s="75"/>
      <c r="C572" s="324">
        <v>4748</v>
      </c>
      <c r="D572" s="326" t="s">
        <v>416</v>
      </c>
      <c r="E572" s="298">
        <f t="shared" si="83"/>
        <v>10689</v>
      </c>
      <c r="F572" s="298">
        <f t="shared" si="84"/>
        <v>10689</v>
      </c>
      <c r="G572" s="302"/>
      <c r="H572" s="302"/>
      <c r="I572" s="302"/>
      <c r="J572" s="302"/>
      <c r="K572" s="302"/>
      <c r="L572" s="328">
        <v>10689</v>
      </c>
      <c r="M572" s="302"/>
      <c r="N572" s="302"/>
    </row>
    <row r="573" spans="1:14" s="39" customFormat="1" ht="63.75" customHeight="1">
      <c r="A573" s="299"/>
      <c r="B573" s="75"/>
      <c r="C573" s="324">
        <v>4749</v>
      </c>
      <c r="D573" s="326" t="s">
        <v>416</v>
      </c>
      <c r="E573" s="298">
        <f t="shared" si="83"/>
        <v>1886</v>
      </c>
      <c r="F573" s="298">
        <f t="shared" si="84"/>
        <v>1886</v>
      </c>
      <c r="G573" s="302"/>
      <c r="H573" s="302"/>
      <c r="I573" s="302"/>
      <c r="J573" s="302"/>
      <c r="K573" s="302"/>
      <c r="L573" s="328">
        <v>1886</v>
      </c>
      <c r="M573" s="302"/>
      <c r="N573" s="302"/>
    </row>
    <row r="574" spans="1:14" s="39" customFormat="1" ht="51" customHeight="1">
      <c r="A574" s="299"/>
      <c r="B574" s="75"/>
      <c r="C574" s="324">
        <v>4758</v>
      </c>
      <c r="D574" s="326" t="s">
        <v>458</v>
      </c>
      <c r="E574" s="298">
        <f t="shared" si="83"/>
        <v>12503</v>
      </c>
      <c r="F574" s="298">
        <f t="shared" si="84"/>
        <v>12503</v>
      </c>
      <c r="G574" s="302"/>
      <c r="H574" s="302"/>
      <c r="I574" s="302"/>
      <c r="J574" s="302"/>
      <c r="K574" s="302"/>
      <c r="L574" s="328">
        <v>12503</v>
      </c>
      <c r="M574" s="302"/>
      <c r="N574" s="302"/>
    </row>
    <row r="575" spans="1:14" s="39" customFormat="1" ht="38.25">
      <c r="A575" s="299"/>
      <c r="B575" s="75"/>
      <c r="C575" s="324">
        <v>4759</v>
      </c>
      <c r="D575" s="326" t="s">
        <v>458</v>
      </c>
      <c r="E575" s="298">
        <f t="shared" si="83"/>
        <v>2207</v>
      </c>
      <c r="F575" s="298">
        <f t="shared" si="84"/>
        <v>2207</v>
      </c>
      <c r="G575" s="302"/>
      <c r="H575" s="302"/>
      <c r="I575" s="302"/>
      <c r="J575" s="302"/>
      <c r="K575" s="302"/>
      <c r="L575" s="328">
        <v>2207</v>
      </c>
      <c r="M575" s="302"/>
      <c r="N575" s="302"/>
    </row>
    <row r="576" spans="1:14" s="39" customFormat="1" ht="38.25" hidden="1">
      <c r="A576" s="299"/>
      <c r="B576" s="75"/>
      <c r="C576" s="324">
        <v>6068</v>
      </c>
      <c r="D576" s="326" t="s">
        <v>608</v>
      </c>
      <c r="E576" s="298">
        <f t="shared" si="83"/>
        <v>0</v>
      </c>
      <c r="F576" s="298">
        <f t="shared" si="84"/>
        <v>0</v>
      </c>
      <c r="G576" s="302"/>
      <c r="H576" s="302"/>
      <c r="I576" s="302"/>
      <c r="J576" s="302"/>
      <c r="K576" s="302"/>
      <c r="L576" s="328"/>
      <c r="M576" s="302"/>
      <c r="N576" s="302"/>
    </row>
    <row r="577" spans="1:14" s="39" customFormat="1" ht="38.25" hidden="1">
      <c r="A577" s="299"/>
      <c r="B577" s="75"/>
      <c r="C577" s="324">
        <v>6069</v>
      </c>
      <c r="D577" s="326" t="s">
        <v>608</v>
      </c>
      <c r="E577" s="298">
        <f t="shared" si="83"/>
        <v>0</v>
      </c>
      <c r="F577" s="298">
        <f t="shared" si="84"/>
        <v>0</v>
      </c>
      <c r="G577" s="302"/>
      <c r="H577" s="302"/>
      <c r="I577" s="302"/>
      <c r="J577" s="302"/>
      <c r="K577" s="302"/>
      <c r="L577" s="328"/>
      <c r="M577" s="302"/>
      <c r="N577" s="302"/>
    </row>
    <row r="578" spans="1:14" s="39" customFormat="1" ht="38.25">
      <c r="A578" s="290"/>
      <c r="B578" s="290"/>
      <c r="C578" s="300">
        <v>6068</v>
      </c>
      <c r="D578" s="308" t="s">
        <v>608</v>
      </c>
      <c r="E578" s="302">
        <f t="shared" si="83"/>
        <v>6120</v>
      </c>
      <c r="F578" s="302">
        <f t="shared" si="84"/>
        <v>0</v>
      </c>
      <c r="G578" s="302"/>
      <c r="H578" s="302"/>
      <c r="I578" s="302"/>
      <c r="J578" s="302"/>
      <c r="K578" s="302"/>
      <c r="L578" s="302"/>
      <c r="M578" s="302"/>
      <c r="N578" s="302">
        <v>6120</v>
      </c>
    </row>
    <row r="579" spans="1:14" s="39" customFormat="1" ht="38.25">
      <c r="A579" s="290"/>
      <c r="B579" s="290"/>
      <c r="C579" s="300">
        <v>6069</v>
      </c>
      <c r="D579" s="308" t="s">
        <v>608</v>
      </c>
      <c r="E579" s="302">
        <f t="shared" si="83"/>
        <v>1080</v>
      </c>
      <c r="F579" s="302">
        <f t="shared" si="84"/>
        <v>0</v>
      </c>
      <c r="G579" s="302"/>
      <c r="H579" s="302"/>
      <c r="I579" s="302"/>
      <c r="J579" s="302"/>
      <c r="K579" s="302"/>
      <c r="L579" s="302"/>
      <c r="M579" s="302"/>
      <c r="N579" s="302">
        <v>1080</v>
      </c>
    </row>
    <row r="580" spans="1:14" s="294" customFormat="1" ht="25.5">
      <c r="A580" s="290">
        <v>854</v>
      </c>
      <c r="B580" s="290"/>
      <c r="C580" s="291"/>
      <c r="D580" s="307" t="s">
        <v>503</v>
      </c>
      <c r="E580" s="293">
        <f>F580+N580</f>
        <v>2107190</v>
      </c>
      <c r="F580" s="293">
        <f t="shared" si="80"/>
        <v>2107190</v>
      </c>
      <c r="G580" s="293">
        <f aca="true" t="shared" si="87" ref="G580:N580">SUM(G581+G588+G611+G629+G634+G636+G639)</f>
        <v>985670</v>
      </c>
      <c r="H580" s="293">
        <f t="shared" si="87"/>
        <v>78210</v>
      </c>
      <c r="I580" s="293">
        <f t="shared" si="87"/>
        <v>189800</v>
      </c>
      <c r="J580" s="293">
        <f t="shared" si="87"/>
        <v>294000</v>
      </c>
      <c r="K580" s="293">
        <f t="shared" si="87"/>
        <v>0</v>
      </c>
      <c r="L580" s="293">
        <f t="shared" si="87"/>
        <v>0</v>
      </c>
      <c r="M580" s="293">
        <f t="shared" si="87"/>
        <v>559510</v>
      </c>
      <c r="N580" s="293">
        <f t="shared" si="87"/>
        <v>0</v>
      </c>
    </row>
    <row r="581" spans="1:14" s="62" customFormat="1" ht="12.75">
      <c r="A581" s="295"/>
      <c r="B581" s="295">
        <v>85401</v>
      </c>
      <c r="C581" s="296"/>
      <c r="D581" s="306" t="s">
        <v>504</v>
      </c>
      <c r="E581" s="298">
        <f t="shared" si="79"/>
        <v>176540</v>
      </c>
      <c r="F581" s="298">
        <f t="shared" si="80"/>
        <v>176540</v>
      </c>
      <c r="G581" s="298">
        <f aca="true" t="shared" si="88" ref="G581:N581">SUM(G582:G587)</f>
        <v>135810</v>
      </c>
      <c r="H581" s="298">
        <f t="shared" si="88"/>
        <v>9500</v>
      </c>
      <c r="I581" s="298">
        <f t="shared" si="88"/>
        <v>30910</v>
      </c>
      <c r="J581" s="298">
        <f t="shared" si="88"/>
        <v>0</v>
      </c>
      <c r="K581" s="298">
        <f t="shared" si="88"/>
        <v>0</v>
      </c>
      <c r="L581" s="298">
        <f t="shared" si="88"/>
        <v>0</v>
      </c>
      <c r="M581" s="298">
        <f t="shared" si="88"/>
        <v>320</v>
      </c>
      <c r="N581" s="298">
        <f t="shared" si="88"/>
        <v>0</v>
      </c>
    </row>
    <row r="582" spans="1:14" s="39" customFormat="1" ht="25.5">
      <c r="A582" s="299"/>
      <c r="B582" s="299"/>
      <c r="C582" s="300">
        <v>3020</v>
      </c>
      <c r="D582" s="301" t="s">
        <v>607</v>
      </c>
      <c r="E582" s="302">
        <f t="shared" si="79"/>
        <v>320</v>
      </c>
      <c r="F582" s="302">
        <f t="shared" si="80"/>
        <v>320</v>
      </c>
      <c r="G582" s="302"/>
      <c r="H582" s="302"/>
      <c r="I582" s="302"/>
      <c r="J582" s="302"/>
      <c r="K582" s="302"/>
      <c r="L582" s="302"/>
      <c r="M582" s="302">
        <v>320</v>
      </c>
      <c r="N582" s="302"/>
    </row>
    <row r="583" spans="1:14" s="39" customFormat="1" ht="25.5">
      <c r="A583" s="299"/>
      <c r="B583" s="299"/>
      <c r="C583" s="300">
        <v>4010</v>
      </c>
      <c r="D583" s="301" t="s">
        <v>374</v>
      </c>
      <c r="E583" s="302">
        <f t="shared" si="79"/>
        <v>135810</v>
      </c>
      <c r="F583" s="302">
        <f t="shared" si="80"/>
        <v>135810</v>
      </c>
      <c r="G583" s="302">
        <v>135810</v>
      </c>
      <c r="H583" s="302"/>
      <c r="I583" s="302"/>
      <c r="J583" s="302"/>
      <c r="K583" s="302"/>
      <c r="L583" s="302"/>
      <c r="M583" s="302"/>
      <c r="N583" s="302"/>
    </row>
    <row r="584" spans="1:14" s="39" customFormat="1" ht="25.5">
      <c r="A584" s="299"/>
      <c r="B584" s="299"/>
      <c r="C584" s="300">
        <v>4040</v>
      </c>
      <c r="D584" s="301" t="s">
        <v>375</v>
      </c>
      <c r="E584" s="302">
        <f t="shared" si="79"/>
        <v>9500</v>
      </c>
      <c r="F584" s="302">
        <f t="shared" si="80"/>
        <v>9500</v>
      </c>
      <c r="G584" s="302"/>
      <c r="H584" s="302">
        <v>9500</v>
      </c>
      <c r="I584" s="302"/>
      <c r="J584" s="302"/>
      <c r="K584" s="302"/>
      <c r="L584" s="302"/>
      <c r="M584" s="302"/>
      <c r="N584" s="302"/>
    </row>
    <row r="585" spans="1:14" s="39" customFormat="1" ht="25.5">
      <c r="A585" s="299"/>
      <c r="B585" s="299"/>
      <c r="C585" s="300">
        <v>4110</v>
      </c>
      <c r="D585" s="301" t="s">
        <v>453</v>
      </c>
      <c r="E585" s="302">
        <f t="shared" si="79"/>
        <v>21740</v>
      </c>
      <c r="F585" s="302">
        <f t="shared" si="80"/>
        <v>21740</v>
      </c>
      <c r="G585" s="302"/>
      <c r="H585" s="302"/>
      <c r="I585" s="302">
        <v>21740</v>
      </c>
      <c r="J585" s="302"/>
      <c r="K585" s="302"/>
      <c r="L585" s="302"/>
      <c r="M585" s="302"/>
      <c r="N585" s="302"/>
    </row>
    <row r="586" spans="1:14" s="39" customFormat="1" ht="12.75">
      <c r="A586" s="299"/>
      <c r="B586" s="299"/>
      <c r="C586" s="300">
        <v>4120</v>
      </c>
      <c r="D586" s="301" t="s">
        <v>377</v>
      </c>
      <c r="E586" s="302">
        <f t="shared" si="79"/>
        <v>3490</v>
      </c>
      <c r="F586" s="302">
        <f t="shared" si="80"/>
        <v>3490</v>
      </c>
      <c r="G586" s="302"/>
      <c r="H586" s="302"/>
      <c r="I586" s="302">
        <v>3490</v>
      </c>
      <c r="J586" s="302"/>
      <c r="K586" s="302"/>
      <c r="L586" s="302"/>
      <c r="M586" s="302"/>
      <c r="N586" s="302"/>
    </row>
    <row r="587" spans="1:14" s="39" customFormat="1" ht="40.5" customHeight="1">
      <c r="A587" s="299"/>
      <c r="B587" s="299"/>
      <c r="C587" s="300">
        <v>4440</v>
      </c>
      <c r="D587" s="301" t="s">
        <v>390</v>
      </c>
      <c r="E587" s="302">
        <f t="shared" si="79"/>
        <v>5680</v>
      </c>
      <c r="F587" s="302">
        <f t="shared" si="80"/>
        <v>5680</v>
      </c>
      <c r="G587" s="302"/>
      <c r="H587" s="302"/>
      <c r="I587" s="302">
        <v>5680</v>
      </c>
      <c r="J587" s="302"/>
      <c r="K587" s="302"/>
      <c r="L587" s="302"/>
      <c r="M587" s="302"/>
      <c r="N587" s="302"/>
    </row>
    <row r="588" spans="1:14" s="62" customFormat="1" ht="38.25">
      <c r="A588" s="295"/>
      <c r="B588" s="295">
        <v>85406</v>
      </c>
      <c r="C588" s="296"/>
      <c r="D588" s="306" t="s">
        <v>505</v>
      </c>
      <c r="E588" s="298">
        <f t="shared" si="79"/>
        <v>995050</v>
      </c>
      <c r="F588" s="298">
        <f t="shared" si="80"/>
        <v>995050</v>
      </c>
      <c r="G588" s="298">
        <f aca="true" t="shared" si="89" ref="G588:N588">SUM(G589:G610)</f>
        <v>481090</v>
      </c>
      <c r="H588" s="298">
        <f t="shared" si="89"/>
        <v>38500</v>
      </c>
      <c r="I588" s="298">
        <f t="shared" si="89"/>
        <v>90100</v>
      </c>
      <c r="J588" s="298">
        <f>SUM(J589:J610)</f>
        <v>294000</v>
      </c>
      <c r="K588" s="298">
        <f t="shared" si="89"/>
        <v>0</v>
      </c>
      <c r="L588" s="298">
        <f t="shared" si="89"/>
        <v>0</v>
      </c>
      <c r="M588" s="298">
        <f t="shared" si="89"/>
        <v>91360</v>
      </c>
      <c r="N588" s="298">
        <f t="shared" si="89"/>
        <v>0</v>
      </c>
    </row>
    <row r="589" spans="1:14" s="39" customFormat="1" ht="92.25" customHeight="1">
      <c r="A589" s="299"/>
      <c r="B589" s="299"/>
      <c r="C589" s="300">
        <v>2310</v>
      </c>
      <c r="D589" s="301" t="s">
        <v>506</v>
      </c>
      <c r="E589" s="302">
        <f t="shared" si="79"/>
        <v>294000</v>
      </c>
      <c r="F589" s="302">
        <f>SUM(G589:K589)</f>
        <v>294000</v>
      </c>
      <c r="G589" s="302"/>
      <c r="H589" s="302"/>
      <c r="I589" s="302"/>
      <c r="J589" s="302">
        <v>294000</v>
      </c>
      <c r="K589" s="302"/>
      <c r="L589" s="302"/>
      <c r="M589" s="115"/>
      <c r="N589" s="302"/>
    </row>
    <row r="590" spans="1:14" s="39" customFormat="1" ht="33.75" customHeight="1">
      <c r="A590" s="299"/>
      <c r="B590" s="299"/>
      <c r="C590" s="300">
        <v>3020</v>
      </c>
      <c r="D590" s="301" t="s">
        <v>607</v>
      </c>
      <c r="E590" s="302">
        <f t="shared" si="79"/>
        <v>9650</v>
      </c>
      <c r="F590" s="302">
        <f t="shared" si="80"/>
        <v>9650</v>
      </c>
      <c r="G590" s="302"/>
      <c r="H590" s="302"/>
      <c r="I590" s="302"/>
      <c r="J590" s="302"/>
      <c r="K590" s="302"/>
      <c r="L590" s="302"/>
      <c r="M590" s="302">
        <v>9650</v>
      </c>
      <c r="N590" s="302"/>
    </row>
    <row r="591" spans="1:14" s="39" customFormat="1" ht="25.5">
      <c r="A591" s="299"/>
      <c r="B591" s="299"/>
      <c r="C591" s="300">
        <v>4010</v>
      </c>
      <c r="D591" s="301" t="s">
        <v>374</v>
      </c>
      <c r="E591" s="302">
        <f t="shared" si="79"/>
        <v>481090</v>
      </c>
      <c r="F591" s="302">
        <f t="shared" si="80"/>
        <v>481090</v>
      </c>
      <c r="G591" s="302">
        <v>481090</v>
      </c>
      <c r="H591" s="302"/>
      <c r="I591" s="302"/>
      <c r="J591" s="302"/>
      <c r="K591" s="302"/>
      <c r="L591" s="302"/>
      <c r="M591" s="302"/>
      <c r="N591" s="302"/>
    </row>
    <row r="592" spans="1:14" s="39" customFormat="1" ht="25.5">
      <c r="A592" s="299"/>
      <c r="B592" s="299"/>
      <c r="C592" s="300">
        <v>4040</v>
      </c>
      <c r="D592" s="301" t="s">
        <v>375</v>
      </c>
      <c r="E592" s="302">
        <f t="shared" si="79"/>
        <v>38500</v>
      </c>
      <c r="F592" s="302">
        <f t="shared" si="80"/>
        <v>38500</v>
      </c>
      <c r="G592" s="302"/>
      <c r="H592" s="302">
        <v>38500</v>
      </c>
      <c r="I592" s="302"/>
      <c r="J592" s="302"/>
      <c r="K592" s="302"/>
      <c r="L592" s="302"/>
      <c r="M592" s="302"/>
      <c r="N592" s="302"/>
    </row>
    <row r="593" spans="1:14" s="39" customFormat="1" ht="25.5">
      <c r="A593" s="299"/>
      <c r="B593" s="299"/>
      <c r="C593" s="300">
        <v>4110</v>
      </c>
      <c r="D593" s="301" t="s">
        <v>453</v>
      </c>
      <c r="E593" s="302">
        <f t="shared" si="79"/>
        <v>77630</v>
      </c>
      <c r="F593" s="302">
        <f t="shared" si="80"/>
        <v>77630</v>
      </c>
      <c r="G593" s="302"/>
      <c r="H593" s="302"/>
      <c r="I593" s="302">
        <v>77630</v>
      </c>
      <c r="J593" s="302"/>
      <c r="K593" s="302"/>
      <c r="L593" s="302"/>
      <c r="M593" s="302"/>
      <c r="N593" s="302"/>
    </row>
    <row r="594" spans="1:14" s="39" customFormat="1" ht="12.75">
      <c r="A594" s="299"/>
      <c r="B594" s="299"/>
      <c r="C594" s="300">
        <v>4120</v>
      </c>
      <c r="D594" s="301" t="s">
        <v>377</v>
      </c>
      <c r="E594" s="302">
        <f t="shared" si="79"/>
        <v>12470</v>
      </c>
      <c r="F594" s="302">
        <f t="shared" si="80"/>
        <v>12470</v>
      </c>
      <c r="G594" s="302"/>
      <c r="H594" s="302"/>
      <c r="I594" s="302">
        <v>12470</v>
      </c>
      <c r="J594" s="302"/>
      <c r="K594" s="302"/>
      <c r="L594" s="302"/>
      <c r="M594" s="302"/>
      <c r="N594" s="302"/>
    </row>
    <row r="595" spans="1:14" s="39" customFormat="1" ht="12.75">
      <c r="A595" s="299"/>
      <c r="B595" s="299"/>
      <c r="C595" s="300">
        <v>4170</v>
      </c>
      <c r="D595" s="301" t="s">
        <v>489</v>
      </c>
      <c r="E595" s="302">
        <f t="shared" si="79"/>
        <v>6830</v>
      </c>
      <c r="F595" s="302">
        <f t="shared" si="80"/>
        <v>6830</v>
      </c>
      <c r="G595" s="302"/>
      <c r="H595" s="302"/>
      <c r="I595" s="302"/>
      <c r="J595" s="302"/>
      <c r="K595" s="302"/>
      <c r="L595" s="302"/>
      <c r="M595" s="302">
        <v>6830</v>
      </c>
      <c r="N595" s="302"/>
    </row>
    <row r="596" spans="1:14" s="39" customFormat="1" ht="36.75" customHeight="1">
      <c r="A596" s="299"/>
      <c r="B596" s="299"/>
      <c r="C596" s="300">
        <v>4210</v>
      </c>
      <c r="D596" s="301" t="s">
        <v>379</v>
      </c>
      <c r="E596" s="302">
        <f t="shared" si="79"/>
        <v>5060</v>
      </c>
      <c r="F596" s="302">
        <f t="shared" si="80"/>
        <v>5060</v>
      </c>
      <c r="G596" s="302"/>
      <c r="H596" s="302"/>
      <c r="I596" s="302"/>
      <c r="J596" s="302"/>
      <c r="K596" s="302"/>
      <c r="L596" s="302"/>
      <c r="M596" s="302">
        <v>5060</v>
      </c>
      <c r="N596" s="302"/>
    </row>
    <row r="597" spans="1:14" s="39" customFormat="1" ht="40.5" customHeight="1">
      <c r="A597" s="299"/>
      <c r="B597" s="299"/>
      <c r="C597" s="300">
        <v>4240</v>
      </c>
      <c r="D597" s="301" t="s">
        <v>463</v>
      </c>
      <c r="E597" s="302">
        <f t="shared" si="79"/>
        <v>3160</v>
      </c>
      <c r="F597" s="302">
        <f t="shared" si="80"/>
        <v>3160</v>
      </c>
      <c r="G597" s="302"/>
      <c r="H597" s="302"/>
      <c r="I597" s="302"/>
      <c r="J597" s="302"/>
      <c r="K597" s="302"/>
      <c r="L597" s="302"/>
      <c r="M597" s="302">
        <v>3160</v>
      </c>
      <c r="N597" s="302"/>
    </row>
    <row r="598" spans="1:14" s="39" customFormat="1" ht="12.75">
      <c r="A598" s="299"/>
      <c r="B598" s="299"/>
      <c r="C598" s="300">
        <v>4260</v>
      </c>
      <c r="D598" s="301" t="s">
        <v>380</v>
      </c>
      <c r="E598" s="302">
        <f t="shared" si="79"/>
        <v>12560</v>
      </c>
      <c r="F598" s="302">
        <f t="shared" si="80"/>
        <v>12560</v>
      </c>
      <c r="G598" s="302"/>
      <c r="H598" s="302"/>
      <c r="I598" s="302"/>
      <c r="J598" s="302"/>
      <c r="K598" s="302"/>
      <c r="L598" s="302"/>
      <c r="M598" s="302">
        <v>12560</v>
      </c>
      <c r="N598" s="302"/>
    </row>
    <row r="599" spans="1:14" s="39" customFormat="1" ht="12.75">
      <c r="A599" s="299"/>
      <c r="B599" s="299"/>
      <c r="C599" s="300">
        <v>4270</v>
      </c>
      <c r="D599" s="301" t="s">
        <v>381</v>
      </c>
      <c r="E599" s="302">
        <f t="shared" si="79"/>
        <v>6850</v>
      </c>
      <c r="F599" s="302">
        <f t="shared" si="80"/>
        <v>6850</v>
      </c>
      <c r="G599" s="302"/>
      <c r="H599" s="302"/>
      <c r="I599" s="302"/>
      <c r="J599" s="302"/>
      <c r="K599" s="302"/>
      <c r="L599" s="302"/>
      <c r="M599" s="302">
        <v>6850</v>
      </c>
      <c r="N599" s="302"/>
    </row>
    <row r="600" spans="1:14" s="39" customFormat="1" ht="12.75">
      <c r="A600" s="299"/>
      <c r="B600" s="299"/>
      <c r="C600" s="300">
        <v>4280</v>
      </c>
      <c r="D600" s="301" t="s">
        <v>382</v>
      </c>
      <c r="E600" s="302">
        <f t="shared" si="79"/>
        <v>370</v>
      </c>
      <c r="F600" s="302">
        <f t="shared" si="80"/>
        <v>370</v>
      </c>
      <c r="G600" s="302"/>
      <c r="H600" s="302"/>
      <c r="I600" s="302"/>
      <c r="J600" s="302"/>
      <c r="K600" s="302"/>
      <c r="L600" s="302"/>
      <c r="M600" s="302">
        <v>370</v>
      </c>
      <c r="N600" s="302"/>
    </row>
    <row r="601" spans="1:14" s="39" customFormat="1" ht="12.75">
      <c r="A601" s="299"/>
      <c r="B601" s="299"/>
      <c r="C601" s="300">
        <v>4300</v>
      </c>
      <c r="D601" s="301" t="s">
        <v>424</v>
      </c>
      <c r="E601" s="302">
        <f t="shared" si="79"/>
        <v>3800</v>
      </c>
      <c r="F601" s="302">
        <f t="shared" si="80"/>
        <v>3800</v>
      </c>
      <c r="G601" s="302"/>
      <c r="H601" s="302"/>
      <c r="I601" s="302"/>
      <c r="J601" s="302"/>
      <c r="K601" s="302"/>
      <c r="L601" s="302"/>
      <c r="M601" s="302">
        <v>3800</v>
      </c>
      <c r="N601" s="302"/>
    </row>
    <row r="602" spans="1:14" s="39" customFormat="1" ht="42.75" customHeight="1">
      <c r="A602" s="299"/>
      <c r="B602" s="299"/>
      <c r="C602" s="300">
        <v>4350</v>
      </c>
      <c r="D602" s="301" t="s">
        <v>383</v>
      </c>
      <c r="E602" s="302">
        <f t="shared" si="79"/>
        <v>1310</v>
      </c>
      <c r="F602" s="302">
        <f t="shared" si="80"/>
        <v>1310</v>
      </c>
      <c r="G602" s="302"/>
      <c r="H602" s="302"/>
      <c r="I602" s="302"/>
      <c r="J602" s="302"/>
      <c r="K602" s="302"/>
      <c r="L602" s="302"/>
      <c r="M602" s="302">
        <v>1310</v>
      </c>
      <c r="N602" s="302"/>
    </row>
    <row r="603" spans="1:14" s="39" customFormat="1" ht="38.25">
      <c r="A603" s="299"/>
      <c r="B603" s="299"/>
      <c r="C603" s="300">
        <v>4370</v>
      </c>
      <c r="D603" s="301" t="s">
        <v>457</v>
      </c>
      <c r="E603" s="302">
        <f t="shared" si="79"/>
        <v>5790</v>
      </c>
      <c r="F603" s="302">
        <f t="shared" si="80"/>
        <v>5790</v>
      </c>
      <c r="G603" s="302"/>
      <c r="H603" s="302"/>
      <c r="I603" s="302"/>
      <c r="J603" s="302"/>
      <c r="K603" s="302"/>
      <c r="L603" s="302"/>
      <c r="M603" s="302">
        <v>5790</v>
      </c>
      <c r="N603" s="302"/>
    </row>
    <row r="604" spans="1:14" s="39" customFormat="1" ht="12.75">
      <c r="A604" s="299"/>
      <c r="B604" s="299"/>
      <c r="C604" s="300">
        <v>4410</v>
      </c>
      <c r="D604" s="301" t="s">
        <v>388</v>
      </c>
      <c r="E604" s="302">
        <f t="shared" si="79"/>
        <v>3630</v>
      </c>
      <c r="F604" s="302">
        <f t="shared" si="80"/>
        <v>3630</v>
      </c>
      <c r="G604" s="302"/>
      <c r="H604" s="302"/>
      <c r="I604" s="302"/>
      <c r="J604" s="302"/>
      <c r="K604" s="302"/>
      <c r="L604" s="302"/>
      <c r="M604" s="302">
        <v>3630</v>
      </c>
      <c r="N604" s="302"/>
    </row>
    <row r="605" spans="1:14" s="39" customFormat="1" ht="12.75">
      <c r="A605" s="299"/>
      <c r="B605" s="299"/>
      <c r="C605" s="300">
        <v>4430</v>
      </c>
      <c r="D605" s="301" t="s">
        <v>389</v>
      </c>
      <c r="E605" s="302">
        <f t="shared" si="79"/>
        <v>640</v>
      </c>
      <c r="F605" s="302">
        <f t="shared" si="80"/>
        <v>640</v>
      </c>
      <c r="G605" s="302"/>
      <c r="H605" s="302"/>
      <c r="I605" s="302"/>
      <c r="J605" s="302"/>
      <c r="K605" s="302"/>
      <c r="L605" s="302"/>
      <c r="M605" s="302">
        <v>640</v>
      </c>
      <c r="N605" s="302"/>
    </row>
    <row r="606" spans="1:14" s="39" customFormat="1" ht="39.75" customHeight="1">
      <c r="A606" s="299"/>
      <c r="B606" s="299"/>
      <c r="C606" s="300">
        <v>4440</v>
      </c>
      <c r="D606" s="301" t="s">
        <v>390</v>
      </c>
      <c r="E606" s="302">
        <f t="shared" si="79"/>
        <v>27830</v>
      </c>
      <c r="F606" s="302">
        <f t="shared" si="80"/>
        <v>27830</v>
      </c>
      <c r="G606" s="302"/>
      <c r="H606" s="302"/>
      <c r="I606" s="302"/>
      <c r="J606" s="302"/>
      <c r="K606" s="302"/>
      <c r="L606" s="302"/>
      <c r="M606" s="302">
        <v>27830</v>
      </c>
      <c r="N606" s="302"/>
    </row>
    <row r="607" spans="1:14" s="39" customFormat="1" ht="41.25" customHeight="1">
      <c r="A607" s="299"/>
      <c r="B607" s="299"/>
      <c r="C607" s="300">
        <v>4510</v>
      </c>
      <c r="D607" s="301" t="s">
        <v>643</v>
      </c>
      <c r="E607" s="302">
        <f t="shared" si="79"/>
        <v>100</v>
      </c>
      <c r="F607" s="302">
        <f t="shared" si="80"/>
        <v>100</v>
      </c>
      <c r="G607" s="302"/>
      <c r="H607" s="302"/>
      <c r="I607" s="302"/>
      <c r="J607" s="302"/>
      <c r="K607" s="302"/>
      <c r="L607" s="302"/>
      <c r="M607" s="302">
        <v>100</v>
      </c>
      <c r="N607" s="302"/>
    </row>
    <row r="608" spans="1:14" s="39" customFormat="1" ht="47.25" customHeight="1">
      <c r="A608" s="299"/>
      <c r="B608" s="299"/>
      <c r="C608" s="300">
        <v>4700</v>
      </c>
      <c r="D608" s="301" t="s">
        <v>606</v>
      </c>
      <c r="E608" s="302">
        <f t="shared" si="79"/>
        <v>870</v>
      </c>
      <c r="F608" s="302">
        <f t="shared" si="80"/>
        <v>870</v>
      </c>
      <c r="G608" s="302"/>
      <c r="H608" s="302"/>
      <c r="I608" s="302"/>
      <c r="J608" s="302"/>
      <c r="K608" s="302"/>
      <c r="L608" s="302"/>
      <c r="M608" s="302">
        <v>870</v>
      </c>
      <c r="N608" s="302"/>
    </row>
    <row r="609" spans="1:14" s="39" customFormat="1" ht="60" customHeight="1">
      <c r="A609" s="299"/>
      <c r="B609" s="299"/>
      <c r="C609" s="300">
        <v>4740</v>
      </c>
      <c r="D609" s="301" t="s">
        <v>416</v>
      </c>
      <c r="E609" s="302">
        <f t="shared" si="79"/>
        <v>1080</v>
      </c>
      <c r="F609" s="302">
        <f t="shared" si="80"/>
        <v>1080</v>
      </c>
      <c r="G609" s="302"/>
      <c r="H609" s="302"/>
      <c r="I609" s="302"/>
      <c r="J609" s="302"/>
      <c r="K609" s="302"/>
      <c r="L609" s="302"/>
      <c r="M609" s="302">
        <v>1080</v>
      </c>
      <c r="N609" s="302"/>
    </row>
    <row r="610" spans="1:14" s="39" customFormat="1" ht="49.5" customHeight="1">
      <c r="A610" s="299"/>
      <c r="B610" s="299"/>
      <c r="C610" s="300">
        <v>4750</v>
      </c>
      <c r="D610" s="301" t="s">
        <v>458</v>
      </c>
      <c r="E610" s="302">
        <f t="shared" si="79"/>
        <v>1830</v>
      </c>
      <c r="F610" s="302">
        <f t="shared" si="80"/>
        <v>1830</v>
      </c>
      <c r="G610" s="302"/>
      <c r="H610" s="302"/>
      <c r="I610" s="302"/>
      <c r="J610" s="302"/>
      <c r="K610" s="302"/>
      <c r="L610" s="302"/>
      <c r="M610" s="302">
        <v>1830</v>
      </c>
      <c r="N610" s="302"/>
    </row>
    <row r="611" spans="1:14" s="62" customFormat="1" ht="12.75">
      <c r="A611" s="316"/>
      <c r="B611" s="295">
        <v>85410</v>
      </c>
      <c r="C611" s="296"/>
      <c r="D611" s="306" t="s">
        <v>507</v>
      </c>
      <c r="E611" s="298">
        <f t="shared" si="79"/>
        <v>851780</v>
      </c>
      <c r="F611" s="298">
        <f t="shared" si="80"/>
        <v>851780</v>
      </c>
      <c r="G611" s="298">
        <f>SUM(G612:G628)</f>
        <v>368770</v>
      </c>
      <c r="H611" s="298">
        <f aca="true" t="shared" si="90" ref="H611:N611">SUM(H612:H628)</f>
        <v>30210</v>
      </c>
      <c r="I611" s="298">
        <f t="shared" si="90"/>
        <v>68790</v>
      </c>
      <c r="J611" s="298">
        <f t="shared" si="90"/>
        <v>0</v>
      </c>
      <c r="K611" s="298">
        <f t="shared" si="90"/>
        <v>0</v>
      </c>
      <c r="L611" s="298">
        <f t="shared" si="90"/>
        <v>0</v>
      </c>
      <c r="M611" s="298">
        <f t="shared" si="90"/>
        <v>384010</v>
      </c>
      <c r="N611" s="298">
        <f t="shared" si="90"/>
        <v>0</v>
      </c>
    </row>
    <row r="612" spans="1:14" s="39" customFormat="1" ht="25.5">
      <c r="A612" s="317"/>
      <c r="B612" s="299"/>
      <c r="C612" s="300">
        <v>3020</v>
      </c>
      <c r="D612" s="301" t="s">
        <v>607</v>
      </c>
      <c r="E612" s="302">
        <f t="shared" si="79"/>
        <v>19130</v>
      </c>
      <c r="F612" s="302">
        <f t="shared" si="80"/>
        <v>19130</v>
      </c>
      <c r="G612" s="302"/>
      <c r="H612" s="302"/>
      <c r="I612" s="302"/>
      <c r="J612" s="302"/>
      <c r="K612" s="302"/>
      <c r="L612" s="302"/>
      <c r="M612" s="302">
        <v>19130</v>
      </c>
      <c r="N612" s="302"/>
    </row>
    <row r="613" spans="1:14" s="39" customFormat="1" ht="25.5">
      <c r="A613" s="317"/>
      <c r="B613" s="299"/>
      <c r="C613" s="300">
        <v>4010</v>
      </c>
      <c r="D613" s="301" t="s">
        <v>374</v>
      </c>
      <c r="E613" s="302">
        <f t="shared" si="79"/>
        <v>368770</v>
      </c>
      <c r="F613" s="302">
        <f t="shared" si="80"/>
        <v>368770</v>
      </c>
      <c r="G613" s="302">
        <v>368770</v>
      </c>
      <c r="H613" s="302"/>
      <c r="I613" s="302"/>
      <c r="J613" s="302"/>
      <c r="K613" s="302"/>
      <c r="L613" s="302"/>
      <c r="M613" s="302"/>
      <c r="N613" s="302"/>
    </row>
    <row r="614" spans="1:14" s="39" customFormat="1" ht="37.5" customHeight="1">
      <c r="A614" s="317"/>
      <c r="B614" s="299"/>
      <c r="C614" s="300">
        <v>4040</v>
      </c>
      <c r="D614" s="301" t="s">
        <v>375</v>
      </c>
      <c r="E614" s="302">
        <f t="shared" si="79"/>
        <v>30210</v>
      </c>
      <c r="F614" s="302">
        <f t="shared" si="80"/>
        <v>30210</v>
      </c>
      <c r="G614" s="302"/>
      <c r="H614" s="302">
        <v>30210</v>
      </c>
      <c r="I614" s="302"/>
      <c r="J614" s="302"/>
      <c r="K614" s="302"/>
      <c r="L614" s="302"/>
      <c r="M614" s="302"/>
      <c r="N614" s="302"/>
    </row>
    <row r="615" spans="1:14" s="39" customFormat="1" ht="25.5">
      <c r="A615" s="317"/>
      <c r="B615" s="299"/>
      <c r="C615" s="300">
        <v>4110</v>
      </c>
      <c r="D615" s="301" t="s">
        <v>453</v>
      </c>
      <c r="E615" s="302">
        <f t="shared" si="79"/>
        <v>59210</v>
      </c>
      <c r="F615" s="302">
        <f t="shared" si="80"/>
        <v>59210</v>
      </c>
      <c r="G615" s="302"/>
      <c r="H615" s="302"/>
      <c r="I615" s="302">
        <v>59210</v>
      </c>
      <c r="J615" s="302"/>
      <c r="K615" s="302"/>
      <c r="L615" s="302"/>
      <c r="M615" s="302"/>
      <c r="N615" s="302"/>
    </row>
    <row r="616" spans="1:14" s="39" customFormat="1" ht="12.75">
      <c r="A616" s="317"/>
      <c r="B616" s="299"/>
      <c r="C616" s="300">
        <v>4120</v>
      </c>
      <c r="D616" s="301" t="s">
        <v>377</v>
      </c>
      <c r="E616" s="302">
        <f t="shared" si="79"/>
        <v>9580</v>
      </c>
      <c r="F616" s="302">
        <f t="shared" si="80"/>
        <v>9580</v>
      </c>
      <c r="G616" s="302"/>
      <c r="H616" s="302"/>
      <c r="I616" s="302">
        <v>9580</v>
      </c>
      <c r="J616" s="302"/>
      <c r="K616" s="302"/>
      <c r="L616" s="302"/>
      <c r="M616" s="302"/>
      <c r="N616" s="302"/>
    </row>
    <row r="617" spans="1:14" s="39" customFormat="1" ht="48" customHeight="1">
      <c r="A617" s="317"/>
      <c r="B617" s="299"/>
      <c r="C617" s="300">
        <v>4170</v>
      </c>
      <c r="D617" s="301" t="s">
        <v>489</v>
      </c>
      <c r="E617" s="302">
        <f t="shared" si="79"/>
        <v>5100</v>
      </c>
      <c r="F617" s="302">
        <f t="shared" si="80"/>
        <v>5100</v>
      </c>
      <c r="G617" s="302"/>
      <c r="H617" s="302"/>
      <c r="I617" s="302"/>
      <c r="J617" s="302"/>
      <c r="K617" s="302"/>
      <c r="L617" s="302"/>
      <c r="M617" s="302">
        <v>5100</v>
      </c>
      <c r="N617" s="302"/>
    </row>
    <row r="618" spans="1:14" s="39" customFormat="1" ht="25.5">
      <c r="A618" s="317"/>
      <c r="B618" s="299"/>
      <c r="C618" s="300">
        <v>4210</v>
      </c>
      <c r="D618" s="301" t="s">
        <v>379</v>
      </c>
      <c r="E618" s="302">
        <f t="shared" si="79"/>
        <v>272690</v>
      </c>
      <c r="F618" s="302">
        <f t="shared" si="80"/>
        <v>272690</v>
      </c>
      <c r="G618" s="302"/>
      <c r="H618" s="302"/>
      <c r="I618" s="302"/>
      <c r="J618" s="302"/>
      <c r="K618" s="302"/>
      <c r="L618" s="302"/>
      <c r="M618" s="302">
        <v>272690</v>
      </c>
      <c r="N618" s="302"/>
    </row>
    <row r="619" spans="1:14" s="39" customFormat="1" ht="12.75">
      <c r="A619" s="317"/>
      <c r="B619" s="299"/>
      <c r="C619" s="300">
        <v>4260</v>
      </c>
      <c r="D619" s="301" t="s">
        <v>380</v>
      </c>
      <c r="E619" s="302">
        <f t="shared" si="79"/>
        <v>34510</v>
      </c>
      <c r="F619" s="302">
        <f t="shared" si="80"/>
        <v>34510</v>
      </c>
      <c r="G619" s="302"/>
      <c r="H619" s="302"/>
      <c r="I619" s="302"/>
      <c r="J619" s="302"/>
      <c r="K619" s="302"/>
      <c r="L619" s="302"/>
      <c r="M619" s="302">
        <f>29510+5000</f>
        <v>34510</v>
      </c>
      <c r="N619" s="302"/>
    </row>
    <row r="620" spans="1:14" s="39" customFormat="1" ht="12.75">
      <c r="A620" s="317"/>
      <c r="B620" s="299"/>
      <c r="C620" s="300">
        <v>4270</v>
      </c>
      <c r="D620" s="301" t="s">
        <v>381</v>
      </c>
      <c r="E620" s="302">
        <f t="shared" si="79"/>
        <v>5190</v>
      </c>
      <c r="F620" s="302">
        <f t="shared" si="80"/>
        <v>5190</v>
      </c>
      <c r="G620" s="302"/>
      <c r="H620" s="302"/>
      <c r="I620" s="302"/>
      <c r="J620" s="302"/>
      <c r="K620" s="302"/>
      <c r="L620" s="302"/>
      <c r="M620" s="302">
        <v>5190</v>
      </c>
      <c r="N620" s="302"/>
    </row>
    <row r="621" spans="1:14" s="39" customFormat="1" ht="12.75">
      <c r="A621" s="317"/>
      <c r="B621" s="299"/>
      <c r="C621" s="300">
        <v>4280</v>
      </c>
      <c r="D621" s="301" t="s">
        <v>382</v>
      </c>
      <c r="E621" s="302">
        <f t="shared" si="79"/>
        <v>270</v>
      </c>
      <c r="F621" s="302">
        <f t="shared" si="80"/>
        <v>270</v>
      </c>
      <c r="G621" s="302"/>
      <c r="H621" s="302"/>
      <c r="I621" s="302"/>
      <c r="J621" s="302"/>
      <c r="K621" s="302"/>
      <c r="L621" s="302"/>
      <c r="M621" s="302">
        <v>270</v>
      </c>
      <c r="N621" s="302"/>
    </row>
    <row r="622" spans="1:14" s="39" customFormat="1" ht="12.75">
      <c r="A622" s="317"/>
      <c r="B622" s="299"/>
      <c r="C622" s="300">
        <v>4300</v>
      </c>
      <c r="D622" s="301" t="s">
        <v>424</v>
      </c>
      <c r="E622" s="302">
        <f t="shared" si="79"/>
        <v>20550</v>
      </c>
      <c r="F622" s="302">
        <f t="shared" si="80"/>
        <v>20550</v>
      </c>
      <c r="G622" s="302"/>
      <c r="H622" s="302"/>
      <c r="I622" s="302"/>
      <c r="J622" s="302"/>
      <c r="K622" s="302"/>
      <c r="L622" s="302"/>
      <c r="M622" s="302">
        <f>7550+13000</f>
        <v>20550</v>
      </c>
      <c r="N622" s="302"/>
    </row>
    <row r="623" spans="1:14" s="39" customFormat="1" ht="38.25">
      <c r="A623" s="317"/>
      <c r="B623" s="299"/>
      <c r="C623" s="300">
        <v>4360</v>
      </c>
      <c r="D623" s="301" t="s">
        <v>464</v>
      </c>
      <c r="E623" s="302">
        <f t="shared" si="79"/>
        <v>990</v>
      </c>
      <c r="F623" s="302">
        <f t="shared" si="80"/>
        <v>990</v>
      </c>
      <c r="G623" s="302"/>
      <c r="H623" s="302"/>
      <c r="I623" s="302"/>
      <c r="J623" s="302"/>
      <c r="K623" s="302"/>
      <c r="L623" s="302"/>
      <c r="M623" s="302">
        <v>990</v>
      </c>
      <c r="N623" s="302"/>
    </row>
    <row r="624" spans="1:14" s="39" customFormat="1" ht="38.25">
      <c r="A624" s="317"/>
      <c r="B624" s="299"/>
      <c r="C624" s="300">
        <v>4370</v>
      </c>
      <c r="D624" s="301" t="s">
        <v>457</v>
      </c>
      <c r="E624" s="302">
        <f t="shared" si="79"/>
        <v>1720</v>
      </c>
      <c r="F624" s="302">
        <f t="shared" si="80"/>
        <v>1720</v>
      </c>
      <c r="G624" s="302"/>
      <c r="H624" s="302"/>
      <c r="I624" s="302"/>
      <c r="J624" s="302"/>
      <c r="K624" s="302"/>
      <c r="L624" s="302"/>
      <c r="M624" s="302">
        <v>1720</v>
      </c>
      <c r="N624" s="302"/>
    </row>
    <row r="625" spans="1:14" s="39" customFormat="1" ht="12.75">
      <c r="A625" s="317"/>
      <c r="B625" s="299"/>
      <c r="C625" s="300">
        <v>4410</v>
      </c>
      <c r="D625" s="301" t="s">
        <v>388</v>
      </c>
      <c r="E625" s="302">
        <f t="shared" si="79"/>
        <v>410</v>
      </c>
      <c r="F625" s="302">
        <f t="shared" si="80"/>
        <v>410</v>
      </c>
      <c r="G625" s="302"/>
      <c r="H625" s="302"/>
      <c r="I625" s="302"/>
      <c r="J625" s="302"/>
      <c r="K625" s="302"/>
      <c r="L625" s="302"/>
      <c r="M625" s="302">
        <v>410</v>
      </c>
      <c r="N625" s="302"/>
    </row>
    <row r="626" spans="1:14" s="39" customFormat="1" ht="12.75">
      <c r="A626" s="317"/>
      <c r="B626" s="299"/>
      <c r="C626" s="300">
        <v>4430</v>
      </c>
      <c r="D626" s="301" t="s">
        <v>389</v>
      </c>
      <c r="E626" s="302">
        <f t="shared" si="79"/>
        <v>560</v>
      </c>
      <c r="F626" s="302">
        <f t="shared" si="80"/>
        <v>560</v>
      </c>
      <c r="G626" s="302"/>
      <c r="H626" s="302"/>
      <c r="I626" s="302"/>
      <c r="J626" s="302"/>
      <c r="K626" s="302"/>
      <c r="L626" s="302"/>
      <c r="M626" s="302">
        <v>560</v>
      </c>
      <c r="N626" s="302"/>
    </row>
    <row r="627" spans="1:14" s="39" customFormat="1" ht="46.5" customHeight="1">
      <c r="A627" s="317"/>
      <c r="B627" s="299"/>
      <c r="C627" s="300">
        <v>4440</v>
      </c>
      <c r="D627" s="301" t="s">
        <v>390</v>
      </c>
      <c r="E627" s="302">
        <f aca="true" t="shared" si="91" ref="E627:E641">F627+N627</f>
        <v>22890</v>
      </c>
      <c r="F627" s="302">
        <f aca="true" t="shared" si="92" ref="F627:F641">SUM(G627:M627)</f>
        <v>22890</v>
      </c>
      <c r="G627" s="302"/>
      <c r="H627" s="302"/>
      <c r="I627" s="302"/>
      <c r="J627" s="302"/>
      <c r="K627" s="302"/>
      <c r="L627" s="302"/>
      <c r="M627" s="302">
        <v>22890</v>
      </c>
      <c r="N627" s="302"/>
    </row>
    <row r="628" spans="1:14" s="39" customFormat="1" ht="54" customHeight="1">
      <c r="A628" s="290"/>
      <c r="B628" s="290"/>
      <c r="C628" s="300">
        <v>6060</v>
      </c>
      <c r="D628" s="308" t="s">
        <v>171</v>
      </c>
      <c r="E628" s="302">
        <f t="shared" si="91"/>
        <v>0</v>
      </c>
      <c r="F628" s="302">
        <f t="shared" si="92"/>
        <v>0</v>
      </c>
      <c r="G628" s="302"/>
      <c r="H628" s="302"/>
      <c r="I628" s="302"/>
      <c r="J628" s="302"/>
      <c r="K628" s="302"/>
      <c r="L628" s="302"/>
      <c r="M628" s="302"/>
      <c r="N628" s="302"/>
    </row>
    <row r="629" spans="1:14" s="39" customFormat="1" ht="38.25" hidden="1">
      <c r="A629" s="290"/>
      <c r="B629" s="329">
        <v>85413</v>
      </c>
      <c r="C629" s="300"/>
      <c r="D629" s="330" t="s">
        <v>430</v>
      </c>
      <c r="E629" s="298">
        <f t="shared" si="91"/>
        <v>0</v>
      </c>
      <c r="F629" s="298">
        <f t="shared" si="92"/>
        <v>0</v>
      </c>
      <c r="G629" s="298">
        <f aca="true" t="shared" si="93" ref="G629:N629">SUM(G630:G633)</f>
        <v>0</v>
      </c>
      <c r="H629" s="298">
        <f t="shared" si="93"/>
        <v>0</v>
      </c>
      <c r="I629" s="298">
        <f t="shared" si="93"/>
        <v>0</v>
      </c>
      <c r="J629" s="298">
        <f t="shared" si="93"/>
        <v>0</v>
      </c>
      <c r="K629" s="298">
        <f t="shared" si="93"/>
        <v>0</v>
      </c>
      <c r="L629" s="298">
        <f t="shared" si="93"/>
        <v>0</v>
      </c>
      <c r="M629" s="298">
        <f t="shared" si="93"/>
        <v>0</v>
      </c>
      <c r="N629" s="298">
        <f t="shared" si="93"/>
        <v>0</v>
      </c>
    </row>
    <row r="630" spans="1:14" s="39" customFormat="1" ht="12.75" hidden="1">
      <c r="A630" s="290"/>
      <c r="B630" s="290"/>
      <c r="C630" s="300">
        <v>4170</v>
      </c>
      <c r="D630" s="308" t="s">
        <v>437</v>
      </c>
      <c r="E630" s="302">
        <f t="shared" si="91"/>
        <v>0</v>
      </c>
      <c r="F630" s="302">
        <f t="shared" si="92"/>
        <v>0</v>
      </c>
      <c r="G630" s="302"/>
      <c r="H630" s="302"/>
      <c r="I630" s="302"/>
      <c r="J630" s="302"/>
      <c r="K630" s="302"/>
      <c r="L630" s="302"/>
      <c r="M630" s="302"/>
      <c r="N630" s="302"/>
    </row>
    <row r="631" spans="1:14" s="39" customFormat="1" ht="25.5" hidden="1">
      <c r="A631" s="290"/>
      <c r="B631" s="290"/>
      <c r="C631" s="300">
        <v>4210</v>
      </c>
      <c r="D631" s="308" t="s">
        <v>379</v>
      </c>
      <c r="E631" s="302">
        <f t="shared" si="91"/>
        <v>0</v>
      </c>
      <c r="F631" s="302">
        <f t="shared" si="92"/>
        <v>0</v>
      </c>
      <c r="G631" s="302"/>
      <c r="H631" s="302"/>
      <c r="I631" s="302"/>
      <c r="J631" s="302"/>
      <c r="K631" s="302"/>
      <c r="L631" s="302"/>
      <c r="M631" s="302"/>
      <c r="N631" s="302"/>
    </row>
    <row r="632" spans="1:14" s="39" customFormat="1" ht="12.75" hidden="1">
      <c r="A632" s="290"/>
      <c r="B632" s="290"/>
      <c r="C632" s="300">
        <v>4300</v>
      </c>
      <c r="D632" s="308" t="s">
        <v>424</v>
      </c>
      <c r="E632" s="302">
        <f t="shared" si="91"/>
        <v>0</v>
      </c>
      <c r="F632" s="302">
        <f t="shared" si="92"/>
        <v>0</v>
      </c>
      <c r="G632" s="302"/>
      <c r="H632" s="302"/>
      <c r="I632" s="302"/>
      <c r="J632" s="302"/>
      <c r="K632" s="302"/>
      <c r="L632" s="302"/>
      <c r="M632" s="302"/>
      <c r="N632" s="302"/>
    </row>
    <row r="633" spans="1:14" s="39" customFormat="1" ht="12.75" hidden="1">
      <c r="A633" s="290"/>
      <c r="B633" s="290"/>
      <c r="C633" s="300">
        <v>4430</v>
      </c>
      <c r="D633" s="308" t="s">
        <v>389</v>
      </c>
      <c r="E633" s="302">
        <f t="shared" si="91"/>
        <v>0</v>
      </c>
      <c r="F633" s="302">
        <f t="shared" si="92"/>
        <v>0</v>
      </c>
      <c r="G633" s="302"/>
      <c r="H633" s="302"/>
      <c r="I633" s="302"/>
      <c r="J633" s="302"/>
      <c r="K633" s="302"/>
      <c r="L633" s="302"/>
      <c r="M633" s="302"/>
      <c r="N633" s="302"/>
    </row>
    <row r="634" spans="1:14" s="62" customFormat="1" ht="25.5">
      <c r="A634" s="316"/>
      <c r="B634" s="295">
        <v>85415</v>
      </c>
      <c r="C634" s="296"/>
      <c r="D634" s="306" t="s">
        <v>508</v>
      </c>
      <c r="E634" s="298">
        <f t="shared" si="91"/>
        <v>68800</v>
      </c>
      <c r="F634" s="298">
        <f t="shared" si="92"/>
        <v>68800</v>
      </c>
      <c r="G634" s="298">
        <f aca="true" t="shared" si="94" ref="G634:N634">SUM(G635:G635)</f>
        <v>0</v>
      </c>
      <c r="H634" s="298">
        <f t="shared" si="94"/>
        <v>0</v>
      </c>
      <c r="I634" s="298">
        <f t="shared" si="94"/>
        <v>0</v>
      </c>
      <c r="J634" s="298">
        <f t="shared" si="94"/>
        <v>0</v>
      </c>
      <c r="K634" s="298">
        <f t="shared" si="94"/>
        <v>0</v>
      </c>
      <c r="L634" s="298">
        <f t="shared" si="94"/>
        <v>0</v>
      </c>
      <c r="M634" s="298">
        <f>SUM(M635:M635)</f>
        <v>68800</v>
      </c>
      <c r="N634" s="298">
        <f t="shared" si="94"/>
        <v>0</v>
      </c>
    </row>
    <row r="635" spans="1:14" s="39" customFormat="1" ht="47.25" customHeight="1">
      <c r="A635" s="317"/>
      <c r="B635" s="299"/>
      <c r="C635" s="300">
        <v>3240</v>
      </c>
      <c r="D635" s="301" t="s">
        <v>509</v>
      </c>
      <c r="E635" s="302">
        <f t="shared" si="91"/>
        <v>68800</v>
      </c>
      <c r="F635" s="302">
        <f t="shared" si="92"/>
        <v>68800</v>
      </c>
      <c r="G635" s="302"/>
      <c r="H635" s="302"/>
      <c r="I635" s="302"/>
      <c r="J635" s="302"/>
      <c r="K635" s="302"/>
      <c r="L635" s="302"/>
      <c r="M635" s="302">
        <f>59800+9000</f>
        <v>68800</v>
      </c>
      <c r="N635" s="302"/>
    </row>
    <row r="636" spans="1:14" s="62" customFormat="1" ht="25.5">
      <c r="A636" s="316"/>
      <c r="B636" s="295">
        <v>85446</v>
      </c>
      <c r="C636" s="296"/>
      <c r="D636" s="306" t="s">
        <v>468</v>
      </c>
      <c r="E636" s="298">
        <f t="shared" si="91"/>
        <v>8300</v>
      </c>
      <c r="F636" s="298">
        <f t="shared" si="92"/>
        <v>8300</v>
      </c>
      <c r="G636" s="298">
        <f>SUM(G637:G638)</f>
        <v>0</v>
      </c>
      <c r="H636" s="298">
        <f aca="true" t="shared" si="95" ref="H636:N636">SUM(H637:H638)</f>
        <v>0</v>
      </c>
      <c r="I636" s="298">
        <f t="shared" si="95"/>
        <v>0</v>
      </c>
      <c r="J636" s="298">
        <f t="shared" si="95"/>
        <v>0</v>
      </c>
      <c r="K636" s="298">
        <f t="shared" si="95"/>
        <v>0</v>
      </c>
      <c r="L636" s="298">
        <f t="shared" si="95"/>
        <v>0</v>
      </c>
      <c r="M636" s="298">
        <f t="shared" si="95"/>
        <v>8300</v>
      </c>
      <c r="N636" s="298">
        <f t="shared" si="95"/>
        <v>0</v>
      </c>
    </row>
    <row r="637" spans="1:14" s="39" customFormat="1" ht="12.75">
      <c r="A637" s="317"/>
      <c r="B637" s="299"/>
      <c r="C637" s="300">
        <v>4300</v>
      </c>
      <c r="D637" s="301" t="s">
        <v>424</v>
      </c>
      <c r="E637" s="302">
        <f t="shared" si="91"/>
        <v>6800</v>
      </c>
      <c r="F637" s="302">
        <f t="shared" si="92"/>
        <v>6800</v>
      </c>
      <c r="G637" s="302"/>
      <c r="H637" s="302"/>
      <c r="I637" s="302"/>
      <c r="J637" s="302"/>
      <c r="K637" s="302"/>
      <c r="L637" s="302"/>
      <c r="M637" s="302">
        <v>6800</v>
      </c>
      <c r="N637" s="302"/>
    </row>
    <row r="638" spans="1:14" s="39" customFormat="1" ht="12.75">
      <c r="A638" s="317"/>
      <c r="B638" s="299"/>
      <c r="C638" s="300">
        <v>4410</v>
      </c>
      <c r="D638" s="301" t="s">
        <v>388</v>
      </c>
      <c r="E638" s="302">
        <f t="shared" si="91"/>
        <v>1500</v>
      </c>
      <c r="F638" s="302">
        <f t="shared" si="92"/>
        <v>1500</v>
      </c>
      <c r="G638" s="302"/>
      <c r="H638" s="302"/>
      <c r="I638" s="302"/>
      <c r="J638" s="302"/>
      <c r="K638" s="302"/>
      <c r="L638" s="302"/>
      <c r="M638" s="302">
        <v>1500</v>
      </c>
      <c r="N638" s="302"/>
    </row>
    <row r="639" spans="1:14" s="62" customFormat="1" ht="12.75">
      <c r="A639" s="316"/>
      <c r="B639" s="295">
        <v>85495</v>
      </c>
      <c r="C639" s="296"/>
      <c r="D639" s="306" t="s">
        <v>443</v>
      </c>
      <c r="E639" s="298">
        <f t="shared" si="91"/>
        <v>6720</v>
      </c>
      <c r="F639" s="298">
        <f t="shared" si="92"/>
        <v>6720</v>
      </c>
      <c r="G639" s="298">
        <f>SUM(G640:G643)</f>
        <v>0</v>
      </c>
      <c r="H639" s="298">
        <f aca="true" t="shared" si="96" ref="H639:N639">SUM(H640:H643)</f>
        <v>0</v>
      </c>
      <c r="I639" s="298">
        <f t="shared" si="96"/>
        <v>0</v>
      </c>
      <c r="J639" s="298">
        <f t="shared" si="96"/>
        <v>0</v>
      </c>
      <c r="K639" s="298">
        <f t="shared" si="96"/>
        <v>0</v>
      </c>
      <c r="L639" s="298">
        <f t="shared" si="96"/>
        <v>0</v>
      </c>
      <c r="M639" s="298">
        <f t="shared" si="96"/>
        <v>6720</v>
      </c>
      <c r="N639" s="298">
        <f t="shared" si="96"/>
        <v>0</v>
      </c>
    </row>
    <row r="640" spans="1:14" s="39" customFormat="1" ht="45.75" customHeight="1">
      <c r="A640" s="317"/>
      <c r="B640" s="299"/>
      <c r="C640" s="300">
        <v>4440</v>
      </c>
      <c r="D640" s="301" t="s">
        <v>390</v>
      </c>
      <c r="E640" s="302">
        <f t="shared" si="91"/>
        <v>6720</v>
      </c>
      <c r="F640" s="302">
        <f t="shared" si="92"/>
        <v>6720</v>
      </c>
      <c r="G640" s="302"/>
      <c r="H640" s="302"/>
      <c r="I640" s="302"/>
      <c r="J640" s="302"/>
      <c r="K640" s="302"/>
      <c r="L640" s="302"/>
      <c r="M640" s="302">
        <v>6720</v>
      </c>
      <c r="N640" s="302"/>
    </row>
    <row r="641" spans="1:14" s="39" customFormat="1" ht="25.5" hidden="1">
      <c r="A641" s="299"/>
      <c r="B641" s="299"/>
      <c r="C641" s="300">
        <v>4010</v>
      </c>
      <c r="D641" s="301" t="s">
        <v>374</v>
      </c>
      <c r="E641" s="302">
        <f t="shared" si="91"/>
        <v>0</v>
      </c>
      <c r="F641" s="302">
        <f t="shared" si="92"/>
        <v>0</v>
      </c>
      <c r="G641" s="302"/>
      <c r="H641" s="302"/>
      <c r="I641" s="302"/>
      <c r="J641" s="302"/>
      <c r="K641" s="302"/>
      <c r="L641" s="302"/>
      <c r="M641" s="302"/>
      <c r="N641" s="302"/>
    </row>
    <row r="642" spans="1:14" s="39" customFormat="1" ht="25.5" hidden="1">
      <c r="A642" s="299"/>
      <c r="B642" s="299"/>
      <c r="C642" s="300">
        <v>4110</v>
      </c>
      <c r="D642" s="301" t="s">
        <v>453</v>
      </c>
      <c r="E642" s="302">
        <f>F642+N642</f>
        <v>0</v>
      </c>
      <c r="F642" s="302">
        <f>SUM(G642:M642)</f>
        <v>0</v>
      </c>
      <c r="G642" s="302"/>
      <c r="H642" s="302"/>
      <c r="I642" s="302"/>
      <c r="J642" s="302"/>
      <c r="K642" s="302"/>
      <c r="L642" s="302"/>
      <c r="M642" s="302"/>
      <c r="N642" s="302"/>
    </row>
    <row r="643" spans="1:14" s="39" customFormat="1" ht="12.75" hidden="1">
      <c r="A643" s="299"/>
      <c r="B643" s="299"/>
      <c r="C643" s="300">
        <v>4120</v>
      </c>
      <c r="D643" s="301" t="s">
        <v>377</v>
      </c>
      <c r="E643" s="302">
        <f>F643+N643</f>
        <v>0</v>
      </c>
      <c r="F643" s="302">
        <f>SUM(G643:M643)</f>
        <v>0</v>
      </c>
      <c r="G643" s="302"/>
      <c r="H643" s="302"/>
      <c r="I643" s="302"/>
      <c r="J643" s="302"/>
      <c r="K643" s="302"/>
      <c r="L643" s="302"/>
      <c r="M643" s="302"/>
      <c r="N643" s="302"/>
    </row>
    <row r="644" spans="1:14" s="294" customFormat="1" ht="38.25">
      <c r="A644" s="331">
        <v>921</v>
      </c>
      <c r="B644" s="290"/>
      <c r="C644" s="291"/>
      <c r="D644" s="307" t="s">
        <v>511</v>
      </c>
      <c r="E644" s="293">
        <f aca="true" t="shared" si="97" ref="E644:E673">F644+N644</f>
        <v>149850</v>
      </c>
      <c r="F644" s="293">
        <f aca="true" t="shared" si="98" ref="F644:F673">SUM(G644:M644)</f>
        <v>149850</v>
      </c>
      <c r="G644" s="293">
        <f aca="true" t="shared" si="99" ref="G644:N644">SUM(G647+G650+G645)</f>
        <v>0</v>
      </c>
      <c r="H644" s="293">
        <f t="shared" si="99"/>
        <v>0</v>
      </c>
      <c r="I644" s="293">
        <f t="shared" si="99"/>
        <v>0</v>
      </c>
      <c r="J644" s="293">
        <f t="shared" si="99"/>
        <v>69850</v>
      </c>
      <c r="K644" s="293">
        <f t="shared" si="99"/>
        <v>0</v>
      </c>
      <c r="L644" s="293">
        <f t="shared" si="99"/>
        <v>23000</v>
      </c>
      <c r="M644" s="293">
        <f t="shared" si="99"/>
        <v>57000</v>
      </c>
      <c r="N644" s="293">
        <f t="shared" si="99"/>
        <v>0</v>
      </c>
    </row>
    <row r="645" spans="1:14" s="62" customFormat="1" ht="25.5">
      <c r="A645" s="295"/>
      <c r="B645" s="295">
        <v>92108</v>
      </c>
      <c r="C645" s="296"/>
      <c r="D645" s="306" t="s">
        <v>172</v>
      </c>
      <c r="E645" s="298">
        <f>F645+N645</f>
        <v>5000</v>
      </c>
      <c r="F645" s="298">
        <f>SUM(G645:M645)</f>
        <v>5000</v>
      </c>
      <c r="G645" s="298">
        <f aca="true" t="shared" si="100" ref="G645:N645">SUM(G646:G646)</f>
        <v>0</v>
      </c>
      <c r="H645" s="298">
        <f t="shared" si="100"/>
        <v>0</v>
      </c>
      <c r="I645" s="298">
        <f t="shared" si="100"/>
        <v>0</v>
      </c>
      <c r="J645" s="298">
        <f t="shared" si="100"/>
        <v>5000</v>
      </c>
      <c r="K645" s="298">
        <f t="shared" si="100"/>
        <v>0</v>
      </c>
      <c r="L645" s="298">
        <f t="shared" si="100"/>
        <v>0</v>
      </c>
      <c r="M645" s="298">
        <f t="shared" si="100"/>
        <v>0</v>
      </c>
      <c r="N645" s="298">
        <f t="shared" si="100"/>
        <v>0</v>
      </c>
    </row>
    <row r="646" spans="1:14" s="39" customFormat="1" ht="63.75">
      <c r="A646" s="299"/>
      <c r="B646" s="299"/>
      <c r="C646" s="300">
        <v>2820</v>
      </c>
      <c r="D646" s="301" t="s">
        <v>96</v>
      </c>
      <c r="E646" s="302">
        <f>F646+N646</f>
        <v>5000</v>
      </c>
      <c r="F646" s="302">
        <f>SUM(G646:M646)</f>
        <v>5000</v>
      </c>
      <c r="G646" s="302"/>
      <c r="H646" s="302"/>
      <c r="I646" s="302"/>
      <c r="J646" s="302">
        <v>5000</v>
      </c>
      <c r="K646" s="302"/>
      <c r="L646" s="302"/>
      <c r="M646" s="302"/>
      <c r="N646" s="302"/>
    </row>
    <row r="647" spans="1:14" s="62" customFormat="1" ht="12.75">
      <c r="A647" s="295"/>
      <c r="B647" s="295">
        <v>92116</v>
      </c>
      <c r="C647" s="296"/>
      <c r="D647" s="306" t="s">
        <v>512</v>
      </c>
      <c r="E647" s="298">
        <f t="shared" si="97"/>
        <v>57850</v>
      </c>
      <c r="F647" s="298">
        <f t="shared" si="98"/>
        <v>57850</v>
      </c>
      <c r="G647" s="298">
        <f aca="true" t="shared" si="101" ref="G647:N647">SUM(G648:G649)</f>
        <v>0</v>
      </c>
      <c r="H647" s="298">
        <f t="shared" si="101"/>
        <v>0</v>
      </c>
      <c r="I647" s="298">
        <f t="shared" si="101"/>
        <v>0</v>
      </c>
      <c r="J647" s="298">
        <f t="shared" si="101"/>
        <v>55850</v>
      </c>
      <c r="K647" s="298">
        <f t="shared" si="101"/>
        <v>0</v>
      </c>
      <c r="L647" s="298">
        <f t="shared" si="101"/>
        <v>0</v>
      </c>
      <c r="M647" s="298">
        <f t="shared" si="101"/>
        <v>2000</v>
      </c>
      <c r="N647" s="298">
        <f t="shared" si="101"/>
        <v>0</v>
      </c>
    </row>
    <row r="648" spans="1:14" s="39" customFormat="1" ht="91.5" customHeight="1">
      <c r="A648" s="299"/>
      <c r="B648" s="299"/>
      <c r="C648" s="300">
        <v>2310</v>
      </c>
      <c r="D648" s="301" t="s">
        <v>513</v>
      </c>
      <c r="E648" s="302">
        <f t="shared" si="97"/>
        <v>55850</v>
      </c>
      <c r="F648" s="302">
        <f t="shared" si="98"/>
        <v>55850</v>
      </c>
      <c r="G648" s="302"/>
      <c r="H648" s="302"/>
      <c r="I648" s="302"/>
      <c r="J648" s="302">
        <v>55850</v>
      </c>
      <c r="K648" s="302"/>
      <c r="L648" s="302"/>
      <c r="M648" s="302"/>
      <c r="N648" s="302"/>
    </row>
    <row r="649" spans="1:14" s="39" customFormat="1" ht="39.75" customHeight="1">
      <c r="A649" s="299"/>
      <c r="B649" s="299"/>
      <c r="C649" s="300">
        <v>4210</v>
      </c>
      <c r="D649" s="301" t="s">
        <v>645</v>
      </c>
      <c r="E649" s="302">
        <f>F649+N649</f>
        <v>2000</v>
      </c>
      <c r="F649" s="302">
        <f>SUM(G649:M649)</f>
        <v>2000</v>
      </c>
      <c r="G649" s="302"/>
      <c r="H649" s="302"/>
      <c r="I649" s="302"/>
      <c r="J649" s="302"/>
      <c r="K649" s="302"/>
      <c r="L649" s="302"/>
      <c r="M649" s="302">
        <v>2000</v>
      </c>
      <c r="N649" s="302"/>
    </row>
    <row r="650" spans="1:14" s="62" customFormat="1" ht="12.75">
      <c r="A650" s="295"/>
      <c r="B650" s="295">
        <v>92195</v>
      </c>
      <c r="C650" s="296"/>
      <c r="D650" s="306" t="s">
        <v>443</v>
      </c>
      <c r="E650" s="298">
        <f t="shared" si="97"/>
        <v>87000</v>
      </c>
      <c r="F650" s="298">
        <f t="shared" si="98"/>
        <v>87000</v>
      </c>
      <c r="G650" s="298">
        <f>SUM(G651:G661)</f>
        <v>0</v>
      </c>
      <c r="H650" s="298">
        <f aca="true" t="shared" si="102" ref="H650:N650">SUM(H651:H661)</f>
        <v>0</v>
      </c>
      <c r="I650" s="298">
        <f t="shared" si="102"/>
        <v>0</v>
      </c>
      <c r="J650" s="298">
        <f t="shared" si="102"/>
        <v>9000</v>
      </c>
      <c r="K650" s="298">
        <f t="shared" si="102"/>
        <v>0</v>
      </c>
      <c r="L650" s="298">
        <f t="shared" si="102"/>
        <v>23000</v>
      </c>
      <c r="M650" s="298">
        <f t="shared" si="102"/>
        <v>55000</v>
      </c>
      <c r="N650" s="298">
        <f t="shared" si="102"/>
        <v>0</v>
      </c>
    </row>
    <row r="651" spans="1:14" s="62" customFormat="1" ht="63.75" hidden="1">
      <c r="A651" s="295"/>
      <c r="B651" s="295"/>
      <c r="C651" s="300">
        <v>2810</v>
      </c>
      <c r="D651" s="301" t="s">
        <v>97</v>
      </c>
      <c r="E651" s="302">
        <f t="shared" si="97"/>
        <v>0</v>
      </c>
      <c r="F651" s="302">
        <f t="shared" si="98"/>
        <v>0</v>
      </c>
      <c r="G651" s="298"/>
      <c r="H651" s="298"/>
      <c r="I651" s="298"/>
      <c r="J651" s="302"/>
      <c r="K651" s="298"/>
      <c r="L651" s="298"/>
      <c r="M651" s="298"/>
      <c r="N651" s="298"/>
    </row>
    <row r="652" spans="1:14" s="62" customFormat="1" ht="75" customHeight="1">
      <c r="A652" s="295"/>
      <c r="B652" s="295"/>
      <c r="C652" s="300">
        <v>2820</v>
      </c>
      <c r="D652" s="301" t="s">
        <v>96</v>
      </c>
      <c r="E652" s="302">
        <f t="shared" si="97"/>
        <v>9000</v>
      </c>
      <c r="F652" s="302">
        <f t="shared" si="98"/>
        <v>9000</v>
      </c>
      <c r="G652" s="298"/>
      <c r="H652" s="298"/>
      <c r="I652" s="298"/>
      <c r="J652" s="302">
        <v>9000</v>
      </c>
      <c r="K652" s="298"/>
      <c r="L652" s="298"/>
      <c r="M652" s="298"/>
      <c r="N652" s="298"/>
    </row>
    <row r="653" spans="1:14" s="39" customFormat="1" ht="12.75" hidden="1">
      <c r="A653" s="299"/>
      <c r="B653" s="299"/>
      <c r="C653" s="300">
        <v>4170</v>
      </c>
      <c r="D653" s="301" t="s">
        <v>665</v>
      </c>
      <c r="E653" s="302">
        <f t="shared" si="97"/>
        <v>0</v>
      </c>
      <c r="F653" s="302">
        <f t="shared" si="98"/>
        <v>0</v>
      </c>
      <c r="G653" s="302"/>
      <c r="H653" s="302"/>
      <c r="I653" s="302"/>
      <c r="J653" s="302"/>
      <c r="K653" s="302"/>
      <c r="L653" s="302"/>
      <c r="M653" s="302"/>
      <c r="N653" s="302"/>
    </row>
    <row r="654" spans="1:14" s="39" customFormat="1" ht="34.5" customHeight="1">
      <c r="A654" s="299"/>
      <c r="B654" s="299"/>
      <c r="C654" s="300">
        <v>4210</v>
      </c>
      <c r="D654" s="301" t="s">
        <v>379</v>
      </c>
      <c r="E654" s="302">
        <f t="shared" si="97"/>
        <v>35000</v>
      </c>
      <c r="F654" s="302">
        <f t="shared" si="98"/>
        <v>35000</v>
      </c>
      <c r="G654" s="302"/>
      <c r="H654" s="302"/>
      <c r="I654" s="302"/>
      <c r="J654" s="302"/>
      <c r="K654" s="302"/>
      <c r="L654" s="302"/>
      <c r="M654" s="302">
        <v>35000</v>
      </c>
      <c r="N654" s="302"/>
    </row>
    <row r="655" spans="1:14" s="39" customFormat="1" ht="34.5" customHeight="1">
      <c r="A655" s="299"/>
      <c r="B655" s="299"/>
      <c r="C655" s="300">
        <v>4218</v>
      </c>
      <c r="D655" s="301" t="s">
        <v>379</v>
      </c>
      <c r="E655" s="302">
        <f>F655+N655</f>
        <v>1739</v>
      </c>
      <c r="F655" s="302">
        <f>SUM(G655:M655)</f>
        <v>1739</v>
      </c>
      <c r="G655" s="302"/>
      <c r="H655" s="302"/>
      <c r="I655" s="302"/>
      <c r="J655" s="302"/>
      <c r="K655" s="302"/>
      <c r="L655" s="320">
        <v>1739</v>
      </c>
      <c r="M655" s="302"/>
      <c r="N655" s="302"/>
    </row>
    <row r="656" spans="1:14" s="39" customFormat="1" ht="34.5" customHeight="1">
      <c r="A656" s="299"/>
      <c r="B656" s="299"/>
      <c r="C656" s="300">
        <v>4219</v>
      </c>
      <c r="D656" s="301" t="s">
        <v>379</v>
      </c>
      <c r="E656" s="302">
        <f>F656+N656</f>
        <v>261</v>
      </c>
      <c r="F656" s="302">
        <f>SUM(G656:M656)</f>
        <v>261</v>
      </c>
      <c r="G656" s="302"/>
      <c r="H656" s="302"/>
      <c r="I656" s="302"/>
      <c r="J656" s="302"/>
      <c r="K656" s="302"/>
      <c r="L656" s="320">
        <v>261</v>
      </c>
      <c r="M656" s="302"/>
      <c r="N656" s="302"/>
    </row>
    <row r="657" spans="1:14" s="39" customFormat="1" ht="19.5" customHeight="1">
      <c r="A657" s="299"/>
      <c r="B657" s="299"/>
      <c r="C657" s="300">
        <v>4308</v>
      </c>
      <c r="D657" s="301" t="s">
        <v>424</v>
      </c>
      <c r="E657" s="302">
        <f>F657+N657</f>
        <v>18261</v>
      </c>
      <c r="F657" s="302">
        <f>SUM(G657:M657)</f>
        <v>18261</v>
      </c>
      <c r="G657" s="302"/>
      <c r="H657" s="302"/>
      <c r="I657" s="302"/>
      <c r="J657" s="302"/>
      <c r="K657" s="302"/>
      <c r="L657" s="320">
        <v>18261</v>
      </c>
      <c r="M657" s="302"/>
      <c r="N657" s="302"/>
    </row>
    <row r="658" spans="1:14" s="39" customFormat="1" ht="21.75" customHeight="1">
      <c r="A658" s="299"/>
      <c r="B658" s="299"/>
      <c r="C658" s="300">
        <v>4309</v>
      </c>
      <c r="D658" s="301" t="s">
        <v>424</v>
      </c>
      <c r="E658" s="302">
        <f>F658+N658</f>
        <v>2739</v>
      </c>
      <c r="F658" s="302">
        <f>SUM(G658:M658)</f>
        <v>2739</v>
      </c>
      <c r="G658" s="302"/>
      <c r="H658" s="302"/>
      <c r="I658" s="302"/>
      <c r="J658" s="302"/>
      <c r="K658" s="302"/>
      <c r="L658" s="320">
        <v>2739</v>
      </c>
      <c r="M658" s="302"/>
      <c r="N658" s="302"/>
    </row>
    <row r="659" spans="1:14" s="39" customFormat="1" ht="22.5" customHeight="1">
      <c r="A659" s="299"/>
      <c r="B659" s="299"/>
      <c r="C659" s="300">
        <v>4300</v>
      </c>
      <c r="D659" s="301" t="s">
        <v>424</v>
      </c>
      <c r="E659" s="302">
        <f t="shared" si="97"/>
        <v>20000</v>
      </c>
      <c r="F659" s="302">
        <f t="shared" si="98"/>
        <v>20000</v>
      </c>
      <c r="G659" s="302"/>
      <c r="H659" s="302"/>
      <c r="I659" s="302"/>
      <c r="J659" s="302"/>
      <c r="K659" s="302"/>
      <c r="L659" s="302"/>
      <c r="M659" s="302">
        <f>30000-7000-3000</f>
        <v>20000</v>
      </c>
      <c r="N659" s="302"/>
    </row>
    <row r="660" spans="1:14" s="39" customFormat="1" ht="50.25" customHeight="1">
      <c r="A660" s="299"/>
      <c r="B660" s="299"/>
      <c r="C660" s="323">
        <v>4740</v>
      </c>
      <c r="D660" s="309" t="s">
        <v>416</v>
      </c>
      <c r="E660" s="302">
        <f>F660+N660</f>
        <v>0</v>
      </c>
      <c r="F660" s="302">
        <f>SUM(G660:M660)</f>
        <v>0</v>
      </c>
      <c r="G660" s="302"/>
      <c r="H660" s="302"/>
      <c r="I660" s="302"/>
      <c r="J660" s="302"/>
      <c r="K660" s="302"/>
      <c r="L660" s="302"/>
      <c r="M660" s="302"/>
      <c r="N660" s="302"/>
    </row>
    <row r="661" spans="1:14" s="39" customFormat="1" ht="38.25" hidden="1">
      <c r="A661" s="299"/>
      <c r="B661" s="299"/>
      <c r="C661" s="323">
        <v>4750</v>
      </c>
      <c r="D661" s="309" t="s">
        <v>458</v>
      </c>
      <c r="E661" s="302">
        <f>F661+N661</f>
        <v>0</v>
      </c>
      <c r="F661" s="302">
        <f>SUM(G661:M661)</f>
        <v>0</v>
      </c>
      <c r="G661" s="302"/>
      <c r="H661" s="302"/>
      <c r="I661" s="302"/>
      <c r="J661" s="302"/>
      <c r="K661" s="302"/>
      <c r="L661" s="302"/>
      <c r="M661" s="302"/>
      <c r="N661" s="302"/>
    </row>
    <row r="662" spans="1:14" s="62" customFormat="1" ht="25.5">
      <c r="A662" s="295">
        <v>926</v>
      </c>
      <c r="B662" s="295"/>
      <c r="C662" s="296"/>
      <c r="D662" s="307" t="s">
        <v>514</v>
      </c>
      <c r="E662" s="293">
        <f t="shared" si="97"/>
        <v>138000</v>
      </c>
      <c r="F662" s="293">
        <f t="shared" si="98"/>
        <v>138000</v>
      </c>
      <c r="G662" s="293">
        <f aca="true" t="shared" si="103" ref="G662:N662">SUM(G663)</f>
        <v>0</v>
      </c>
      <c r="H662" s="293">
        <f t="shared" si="103"/>
        <v>0</v>
      </c>
      <c r="I662" s="293">
        <f t="shared" si="103"/>
        <v>750</v>
      </c>
      <c r="J662" s="293">
        <f t="shared" si="103"/>
        <v>50000</v>
      </c>
      <c r="K662" s="293">
        <f t="shared" si="103"/>
        <v>0</v>
      </c>
      <c r="L662" s="293">
        <f t="shared" si="103"/>
        <v>0</v>
      </c>
      <c r="M662" s="293">
        <f t="shared" si="103"/>
        <v>87250</v>
      </c>
      <c r="N662" s="293">
        <f t="shared" si="103"/>
        <v>0</v>
      </c>
    </row>
    <row r="663" spans="1:14" s="62" customFormat="1" ht="25.5">
      <c r="A663" s="295"/>
      <c r="B663" s="295">
        <v>92605</v>
      </c>
      <c r="C663" s="296"/>
      <c r="D663" s="306" t="s">
        <v>515</v>
      </c>
      <c r="E663" s="298">
        <f t="shared" si="97"/>
        <v>138000</v>
      </c>
      <c r="F663" s="298">
        <f t="shared" si="98"/>
        <v>138000</v>
      </c>
      <c r="G663" s="332">
        <f aca="true" t="shared" si="104" ref="G663:N663">SUM(G664:G673)</f>
        <v>0</v>
      </c>
      <c r="H663" s="332">
        <f t="shared" si="104"/>
        <v>0</v>
      </c>
      <c r="I663" s="332">
        <f t="shared" si="104"/>
        <v>750</v>
      </c>
      <c r="J663" s="332">
        <f t="shared" si="104"/>
        <v>50000</v>
      </c>
      <c r="K663" s="332">
        <f t="shared" si="104"/>
        <v>0</v>
      </c>
      <c r="L663" s="332">
        <f t="shared" si="104"/>
        <v>0</v>
      </c>
      <c r="M663" s="332">
        <f t="shared" si="104"/>
        <v>87250</v>
      </c>
      <c r="N663" s="332">
        <f t="shared" si="104"/>
        <v>0</v>
      </c>
    </row>
    <row r="664" spans="1:14" s="62" customFormat="1" ht="63.75">
      <c r="A664" s="295"/>
      <c r="B664" s="295"/>
      <c r="C664" s="300">
        <v>2820</v>
      </c>
      <c r="D664" s="301" t="s">
        <v>96</v>
      </c>
      <c r="E664" s="302">
        <f t="shared" si="97"/>
        <v>50000</v>
      </c>
      <c r="F664" s="302">
        <f t="shared" si="98"/>
        <v>50000</v>
      </c>
      <c r="G664" s="332"/>
      <c r="H664" s="332"/>
      <c r="I664" s="332"/>
      <c r="J664" s="333">
        <v>50000</v>
      </c>
      <c r="K664" s="332"/>
      <c r="L664" s="332"/>
      <c r="M664" s="332"/>
      <c r="N664" s="332"/>
    </row>
    <row r="665" spans="1:14" s="39" customFormat="1" ht="31.5" customHeight="1">
      <c r="A665" s="299"/>
      <c r="B665" s="299"/>
      <c r="C665" s="300">
        <v>4110</v>
      </c>
      <c r="D665" s="301" t="s">
        <v>453</v>
      </c>
      <c r="E665" s="302">
        <f t="shared" si="97"/>
        <v>646</v>
      </c>
      <c r="F665" s="302">
        <f t="shared" si="98"/>
        <v>646</v>
      </c>
      <c r="G665" s="302"/>
      <c r="H665" s="302"/>
      <c r="I665" s="302">
        <v>646</v>
      </c>
      <c r="J665" s="302"/>
      <c r="K665" s="302"/>
      <c r="L665" s="302"/>
      <c r="M665" s="302"/>
      <c r="N665" s="302"/>
    </row>
    <row r="666" spans="1:14" s="39" customFormat="1" ht="24.75" customHeight="1">
      <c r="A666" s="299"/>
      <c r="B666" s="299"/>
      <c r="C666" s="300">
        <v>4120</v>
      </c>
      <c r="D666" s="301" t="s">
        <v>377</v>
      </c>
      <c r="E666" s="302">
        <f t="shared" si="97"/>
        <v>104</v>
      </c>
      <c r="F666" s="302">
        <f t="shared" si="98"/>
        <v>104</v>
      </c>
      <c r="G666" s="302"/>
      <c r="H666" s="302"/>
      <c r="I666" s="302">
        <v>104</v>
      </c>
      <c r="J666" s="302"/>
      <c r="K666" s="302"/>
      <c r="L666" s="302"/>
      <c r="M666" s="302"/>
      <c r="N666" s="302"/>
    </row>
    <row r="667" spans="1:14" s="39" customFormat="1" ht="35.25" customHeight="1">
      <c r="A667" s="299"/>
      <c r="B667" s="299"/>
      <c r="C667" s="300">
        <v>4210</v>
      </c>
      <c r="D667" s="301" t="s">
        <v>379</v>
      </c>
      <c r="E667" s="302">
        <f t="shared" si="97"/>
        <v>51000</v>
      </c>
      <c r="F667" s="302">
        <f t="shared" si="98"/>
        <v>51000</v>
      </c>
      <c r="G667" s="302"/>
      <c r="H667" s="302"/>
      <c r="I667" s="302"/>
      <c r="J667" s="302"/>
      <c r="K667" s="302"/>
      <c r="L667" s="302"/>
      <c r="M667" s="302">
        <v>51000</v>
      </c>
      <c r="N667" s="302"/>
    </row>
    <row r="668" spans="1:14" s="39" customFormat="1" ht="24.75" customHeight="1">
      <c r="A668" s="299"/>
      <c r="B668" s="299"/>
      <c r="C668" s="300">
        <v>4170</v>
      </c>
      <c r="D668" s="301" t="s">
        <v>413</v>
      </c>
      <c r="E668" s="302">
        <f t="shared" si="97"/>
        <v>19950</v>
      </c>
      <c r="F668" s="302">
        <f t="shared" si="98"/>
        <v>19950</v>
      </c>
      <c r="G668" s="302"/>
      <c r="H668" s="302"/>
      <c r="I668" s="302"/>
      <c r="J668" s="302"/>
      <c r="K668" s="302"/>
      <c r="L668" s="302"/>
      <c r="M668" s="302">
        <v>19950</v>
      </c>
      <c r="N668" s="302"/>
    </row>
    <row r="669" spans="1:14" s="39" customFormat="1" ht="25.5" hidden="1">
      <c r="A669" s="317"/>
      <c r="B669" s="299"/>
      <c r="C669" s="300">
        <v>4110</v>
      </c>
      <c r="D669" s="301" t="s">
        <v>453</v>
      </c>
      <c r="E669" s="302">
        <f t="shared" si="97"/>
        <v>0</v>
      </c>
      <c r="F669" s="302">
        <f t="shared" si="98"/>
        <v>0</v>
      </c>
      <c r="G669" s="302"/>
      <c r="H669" s="302"/>
      <c r="I669" s="302"/>
      <c r="J669" s="302"/>
      <c r="K669" s="302"/>
      <c r="L669" s="302"/>
      <c r="M669" s="302"/>
      <c r="N669" s="302"/>
    </row>
    <row r="670" spans="1:14" s="39" customFormat="1" ht="24" customHeight="1">
      <c r="A670" s="299"/>
      <c r="B670" s="299"/>
      <c r="C670" s="300">
        <v>4300</v>
      </c>
      <c r="D670" s="301" t="s">
        <v>424</v>
      </c>
      <c r="E670" s="302">
        <f t="shared" si="97"/>
        <v>16000</v>
      </c>
      <c r="F670" s="302">
        <f t="shared" si="98"/>
        <v>16000</v>
      </c>
      <c r="G670" s="302"/>
      <c r="H670" s="302"/>
      <c r="I670" s="302"/>
      <c r="J670" s="302"/>
      <c r="K670" s="302"/>
      <c r="L670" s="302"/>
      <c r="M670" s="302">
        <v>16000</v>
      </c>
      <c r="N670" s="302"/>
    </row>
    <row r="671" spans="1:14" s="39" customFormat="1" ht="38.25" hidden="1">
      <c r="A671" s="299"/>
      <c r="B671" s="299"/>
      <c r="C671" s="300">
        <v>4400</v>
      </c>
      <c r="D671" s="301" t="s">
        <v>106</v>
      </c>
      <c r="E671" s="302">
        <f>F671+N671</f>
        <v>0</v>
      </c>
      <c r="F671" s="302">
        <f>SUM(G671:M671)</f>
        <v>0</v>
      </c>
      <c r="G671" s="302"/>
      <c r="H671" s="302"/>
      <c r="I671" s="302"/>
      <c r="J671" s="302"/>
      <c r="K671" s="302"/>
      <c r="L671" s="302"/>
      <c r="M671" s="302"/>
      <c r="N671" s="302"/>
    </row>
    <row r="672" spans="1:14" s="39" customFormat="1" ht="25.5" hidden="1">
      <c r="A672" s="299"/>
      <c r="B672" s="299"/>
      <c r="C672" s="300">
        <v>4440</v>
      </c>
      <c r="D672" s="301" t="s">
        <v>390</v>
      </c>
      <c r="E672" s="302">
        <f t="shared" si="97"/>
        <v>0</v>
      </c>
      <c r="F672" s="302">
        <f t="shared" si="98"/>
        <v>0</v>
      </c>
      <c r="G672" s="302"/>
      <c r="H672" s="302"/>
      <c r="I672" s="302"/>
      <c r="J672" s="302"/>
      <c r="K672" s="302"/>
      <c r="L672" s="302"/>
      <c r="M672" s="302"/>
      <c r="N672" s="302"/>
    </row>
    <row r="673" spans="1:14" s="39" customFormat="1" ht="24.75" customHeight="1">
      <c r="A673" s="299"/>
      <c r="B673" s="299"/>
      <c r="C673" s="300">
        <v>4410</v>
      </c>
      <c r="D673" s="301" t="s">
        <v>388</v>
      </c>
      <c r="E673" s="302">
        <f t="shared" si="97"/>
        <v>300</v>
      </c>
      <c r="F673" s="302">
        <f t="shared" si="98"/>
        <v>300</v>
      </c>
      <c r="G673" s="302"/>
      <c r="H673" s="302"/>
      <c r="I673" s="302"/>
      <c r="J673" s="302"/>
      <c r="K673" s="302"/>
      <c r="L673" s="302"/>
      <c r="M673" s="302">
        <v>300</v>
      </c>
      <c r="N673" s="302"/>
    </row>
    <row r="674" spans="1:14" s="40" customFormat="1" ht="12.75">
      <c r="A674" s="551" t="s">
        <v>274</v>
      </c>
      <c r="B674" s="551"/>
      <c r="C674" s="551"/>
      <c r="D674" s="551"/>
      <c r="E674" s="334">
        <f aca="true" t="shared" si="105" ref="E674:N674">E8+E11+E88+E57+E44+E16+E169+E179+E185+E189+E359+E364+E496+E580+E644+E662+E166</f>
        <v>67342845</v>
      </c>
      <c r="F674" s="334">
        <f t="shared" si="105"/>
        <v>51355125</v>
      </c>
      <c r="G674" s="334">
        <f t="shared" si="105"/>
        <v>21711301</v>
      </c>
      <c r="H674" s="334">
        <f t="shared" si="105"/>
        <v>1663820</v>
      </c>
      <c r="I674" s="334">
        <f t="shared" si="105"/>
        <v>4233147</v>
      </c>
      <c r="J674" s="334">
        <f t="shared" si="105"/>
        <v>1950952</v>
      </c>
      <c r="K674" s="334">
        <f t="shared" si="105"/>
        <v>505000</v>
      </c>
      <c r="L674" s="334">
        <f t="shared" si="105"/>
        <v>2093188</v>
      </c>
      <c r="M674" s="334">
        <f t="shared" si="105"/>
        <v>19197717</v>
      </c>
      <c r="N674" s="334">
        <f t="shared" si="105"/>
        <v>15987720</v>
      </c>
    </row>
    <row r="676" spans="3:14" ht="12.75">
      <c r="C676" s="248"/>
      <c r="D676" s="335" t="s">
        <v>347</v>
      </c>
      <c r="E676" s="108">
        <f>F676+N676</f>
        <v>10294398</v>
      </c>
      <c r="F676" s="108">
        <f>SUM(G676:M676)</f>
        <v>3099198</v>
      </c>
      <c r="G676" s="108">
        <f>G518</f>
        <v>3204</v>
      </c>
      <c r="H676" s="108">
        <f>H520</f>
        <v>2916</v>
      </c>
      <c r="I676" s="108">
        <f>I335+I336+I522+I524+I552+I553+I554+I555+I337+I338</f>
        <v>135805</v>
      </c>
      <c r="J676" s="108">
        <f>J548+J549+J550+J551</f>
        <v>864085</v>
      </c>
      <c r="K676" s="336"/>
      <c r="L676" s="108">
        <f>L674</f>
        <v>2093188</v>
      </c>
      <c r="M676" s="336"/>
      <c r="N676" s="108">
        <f>N42+N41+N576+N577+N547</f>
        <v>7195200</v>
      </c>
    </row>
    <row r="681" ht="15.75">
      <c r="F681" s="279"/>
    </row>
  </sheetData>
  <sheetProtection/>
  <mergeCells count="11">
    <mergeCell ref="A674:D674"/>
    <mergeCell ref="A1:N1"/>
    <mergeCell ref="E4:E6"/>
    <mergeCell ref="A4:A6"/>
    <mergeCell ref="D4:D6"/>
    <mergeCell ref="B4:B6"/>
    <mergeCell ref="F4:N4"/>
    <mergeCell ref="G5:M5"/>
    <mergeCell ref="F5:F6"/>
    <mergeCell ref="N5:N6"/>
    <mergeCell ref="C4:C6"/>
  </mergeCells>
  <printOptions horizontalCentered="1"/>
  <pageMargins left="0.3937007874015748" right="0.3937007874015748" top="1.1023622047244095" bottom="0.5118110236220472" header="0.5118110236220472" footer="0.5118110236220472"/>
  <pageSetup horizontalDpi="600" verticalDpi="600" orientation="landscape" paperSize="9" scale="70" r:id="rId1"/>
  <headerFooter alignWithMargins="0">
    <oddHeader>&amp;RZałącznik nr 2
do uchwały Rady Powiatu 
nr XXII/145/09
z dnia 23.04.2009 r.</oddHeader>
  </headerFooter>
</worksheet>
</file>

<file path=xl/worksheets/sheet3.xml><?xml version="1.0" encoding="utf-8"?>
<worksheet xmlns="http://schemas.openxmlformats.org/spreadsheetml/2006/main" xmlns:r="http://schemas.openxmlformats.org/officeDocument/2006/relationships">
  <dimension ref="A1:O46"/>
  <sheetViews>
    <sheetView zoomScalePageLayoutView="0" workbookViewId="0" topLeftCell="H43">
      <selection activeCell="J59" sqref="J59"/>
    </sheetView>
  </sheetViews>
  <sheetFormatPr defaultColWidth="9.00390625" defaultRowHeight="12.75"/>
  <cols>
    <col min="1" max="1" width="7.625" style="196" bestFit="1" customWidth="1"/>
    <col min="2" max="2" width="5.625" style="249" customWidth="1"/>
    <col min="3" max="3" width="7.75390625" style="249" customWidth="1"/>
    <col min="4" max="4" width="4.875" style="249" customWidth="1"/>
    <col min="5" max="5" width="18.25390625" style="249" customWidth="1"/>
    <col min="6" max="6" width="12.00390625" style="249" customWidth="1"/>
    <col min="7" max="7" width="12.375" style="249" customWidth="1"/>
    <col min="8" max="8" width="10.125" style="249" customWidth="1"/>
    <col min="9" max="9" width="11.25390625" style="249" bestFit="1" customWidth="1"/>
    <col min="10" max="10" width="9.125" style="249" customWidth="1"/>
    <col min="11" max="11" width="11.625" style="249" customWidth="1"/>
    <col min="12" max="12" width="10.125" style="220" bestFit="1" customWidth="1"/>
    <col min="13" max="13" width="9.00390625" style="249" customWidth="1"/>
    <col min="14" max="14" width="6.00390625" style="249" customWidth="1"/>
    <col min="15" max="15" width="16.75390625" style="249" customWidth="1"/>
    <col min="16" max="16384" width="9.125" style="249" customWidth="1"/>
  </cols>
  <sheetData>
    <row r="1" spans="2:15" ht="15.75">
      <c r="B1" s="400" t="s">
        <v>32</v>
      </c>
      <c r="C1" s="400"/>
      <c r="D1" s="400"/>
      <c r="E1" s="400"/>
      <c r="F1" s="400"/>
      <c r="G1" s="400"/>
      <c r="H1" s="400"/>
      <c r="I1" s="400"/>
      <c r="J1" s="400"/>
      <c r="K1" s="400"/>
      <c r="L1" s="400"/>
      <c r="M1" s="400"/>
      <c r="N1" s="400"/>
      <c r="O1" s="400"/>
    </row>
    <row r="2" spans="2:15" ht="10.5" customHeight="1">
      <c r="B2" s="12"/>
      <c r="C2" s="12"/>
      <c r="D2" s="12"/>
      <c r="E2" s="12"/>
      <c r="F2" s="12"/>
      <c r="G2" s="12"/>
      <c r="H2" s="12"/>
      <c r="I2" s="12"/>
      <c r="J2" s="12"/>
      <c r="K2" s="12"/>
      <c r="L2" s="217"/>
      <c r="M2" s="12"/>
      <c r="N2" s="12"/>
      <c r="O2" s="8" t="s">
        <v>216</v>
      </c>
    </row>
    <row r="3" spans="1:15" s="35" customFormat="1" ht="19.5" customHeight="1">
      <c r="A3" s="461" t="s">
        <v>137</v>
      </c>
      <c r="B3" s="405" t="s">
        <v>177</v>
      </c>
      <c r="C3" s="405" t="s">
        <v>215</v>
      </c>
      <c r="D3" s="408" t="s">
        <v>305</v>
      </c>
      <c r="E3" s="406" t="s">
        <v>290</v>
      </c>
      <c r="F3" s="406" t="s">
        <v>6</v>
      </c>
      <c r="G3" s="406" t="s">
        <v>246</v>
      </c>
      <c r="H3" s="406"/>
      <c r="I3" s="406"/>
      <c r="J3" s="406"/>
      <c r="K3" s="406"/>
      <c r="L3" s="406"/>
      <c r="M3" s="406"/>
      <c r="N3" s="14"/>
      <c r="O3" s="406" t="s">
        <v>306</v>
      </c>
    </row>
    <row r="4" spans="1:15" s="35" customFormat="1" ht="19.5" customHeight="1">
      <c r="A4" s="461"/>
      <c r="B4" s="405"/>
      <c r="C4" s="405"/>
      <c r="D4" s="408"/>
      <c r="E4" s="406"/>
      <c r="F4" s="406"/>
      <c r="G4" s="406" t="s">
        <v>701</v>
      </c>
      <c r="H4" s="406" t="s">
        <v>354</v>
      </c>
      <c r="I4" s="406"/>
      <c r="J4" s="406"/>
      <c r="K4" s="406"/>
      <c r="L4" s="407">
        <v>2010</v>
      </c>
      <c r="M4" s="406">
        <v>2011</v>
      </c>
      <c r="N4" s="462" t="s">
        <v>33</v>
      </c>
      <c r="O4" s="406"/>
    </row>
    <row r="5" spans="1:15" s="35" customFormat="1" ht="48" customHeight="1">
      <c r="A5" s="461"/>
      <c r="B5" s="405"/>
      <c r="C5" s="405"/>
      <c r="D5" s="408"/>
      <c r="E5" s="406"/>
      <c r="F5" s="406"/>
      <c r="G5" s="406"/>
      <c r="H5" s="407" t="s">
        <v>56</v>
      </c>
      <c r="I5" s="407" t="s">
        <v>58</v>
      </c>
      <c r="J5" s="407" t="s">
        <v>613</v>
      </c>
      <c r="K5" s="407" t="s">
        <v>57</v>
      </c>
      <c r="L5" s="407"/>
      <c r="M5" s="406"/>
      <c r="N5" s="462"/>
      <c r="O5" s="406"/>
    </row>
    <row r="6" spans="1:15" s="35" customFormat="1" ht="19.5" customHeight="1">
      <c r="A6" s="461"/>
      <c r="B6" s="405"/>
      <c r="C6" s="405"/>
      <c r="D6" s="408"/>
      <c r="E6" s="406"/>
      <c r="F6" s="406"/>
      <c r="G6" s="406"/>
      <c r="H6" s="407"/>
      <c r="I6" s="407"/>
      <c r="J6" s="407"/>
      <c r="K6" s="407"/>
      <c r="L6" s="407"/>
      <c r="M6" s="406"/>
      <c r="N6" s="462"/>
      <c r="O6" s="406"/>
    </row>
    <row r="7" spans="1:15" s="35" customFormat="1" ht="36" customHeight="1">
      <c r="A7" s="461"/>
      <c r="B7" s="405"/>
      <c r="C7" s="405"/>
      <c r="D7" s="408"/>
      <c r="E7" s="406"/>
      <c r="F7" s="406"/>
      <c r="G7" s="406"/>
      <c r="H7" s="407"/>
      <c r="I7" s="407"/>
      <c r="J7" s="407"/>
      <c r="K7" s="407"/>
      <c r="L7" s="407"/>
      <c r="M7" s="406"/>
      <c r="N7" s="462"/>
      <c r="O7" s="406"/>
    </row>
    <row r="8" spans="1:15" ht="7.5" customHeight="1">
      <c r="A8" s="255">
        <v>1</v>
      </c>
      <c r="B8" s="16">
        <v>2</v>
      </c>
      <c r="C8" s="16">
        <v>3</v>
      </c>
      <c r="D8" s="16">
        <v>4</v>
      </c>
      <c r="E8" s="16">
        <v>5</v>
      </c>
      <c r="F8" s="16">
        <v>6</v>
      </c>
      <c r="G8" s="215">
        <v>7</v>
      </c>
      <c r="H8" s="16">
        <v>8</v>
      </c>
      <c r="I8" s="16">
        <v>9</v>
      </c>
      <c r="J8" s="16">
        <v>10</v>
      </c>
      <c r="K8" s="16">
        <v>11</v>
      </c>
      <c r="L8" s="218">
        <v>12</v>
      </c>
      <c r="M8" s="16">
        <v>13</v>
      </c>
      <c r="N8" s="16"/>
      <c r="O8" s="16">
        <v>15</v>
      </c>
    </row>
    <row r="9" spans="1:15" s="226" customFormat="1" ht="123.75">
      <c r="A9" s="255">
        <v>1</v>
      </c>
      <c r="B9" s="224">
        <v>600</v>
      </c>
      <c r="C9" s="224">
        <v>60014</v>
      </c>
      <c r="D9" s="224"/>
      <c r="E9" s="345" t="s">
        <v>130</v>
      </c>
      <c r="F9" s="227">
        <f>SUM(F11:F24)</f>
        <v>23585000</v>
      </c>
      <c r="G9" s="227">
        <f aca="true" t="shared" si="0" ref="G9:N9">SUM(G11:G24)</f>
        <v>13305000</v>
      </c>
      <c r="H9" s="227">
        <f t="shared" si="0"/>
        <v>4722000</v>
      </c>
      <c r="I9" s="227">
        <f t="shared" si="0"/>
        <v>5470000</v>
      </c>
      <c r="J9" s="227">
        <f t="shared" si="0"/>
        <v>0</v>
      </c>
      <c r="K9" s="227">
        <f t="shared" si="0"/>
        <v>3113000</v>
      </c>
      <c r="L9" s="227">
        <f t="shared" si="0"/>
        <v>4120000</v>
      </c>
      <c r="M9" s="378">
        <f t="shared" si="0"/>
        <v>6160000</v>
      </c>
      <c r="N9" s="227">
        <f t="shared" si="0"/>
        <v>0</v>
      </c>
      <c r="O9" s="248" t="s">
        <v>124</v>
      </c>
    </row>
    <row r="10" spans="1:15" s="226" customFormat="1" ht="14.25">
      <c r="A10" s="255"/>
      <c r="B10" s="224"/>
      <c r="C10" s="224"/>
      <c r="D10" s="224"/>
      <c r="E10" s="224" t="s">
        <v>706</v>
      </c>
      <c r="F10" s="224"/>
      <c r="G10" s="225"/>
      <c r="H10" s="224"/>
      <c r="I10" s="224"/>
      <c r="J10" s="224"/>
      <c r="K10" s="224"/>
      <c r="L10" s="218"/>
      <c r="M10" s="224"/>
      <c r="N10" s="224"/>
      <c r="O10" s="224"/>
    </row>
    <row r="11" spans="1:15" ht="12.75">
      <c r="A11" s="255"/>
      <c r="B11" s="22"/>
      <c r="C11" s="248"/>
      <c r="D11" s="214"/>
      <c r="E11" s="88"/>
      <c r="F11" s="143"/>
      <c r="G11" s="250"/>
      <c r="H11" s="16"/>
      <c r="I11" s="16"/>
      <c r="J11" s="16"/>
      <c r="K11" s="16"/>
      <c r="L11" s="219"/>
      <c r="M11" s="143"/>
      <c r="N11" s="143"/>
      <c r="O11" s="251" t="s">
        <v>123</v>
      </c>
    </row>
    <row r="12" spans="1:15" ht="110.25">
      <c r="A12" s="255"/>
      <c r="B12" s="22" t="s">
        <v>4</v>
      </c>
      <c r="C12" s="248" t="s">
        <v>123</v>
      </c>
      <c r="D12" s="214">
        <v>605</v>
      </c>
      <c r="E12" s="463" t="s">
        <v>81</v>
      </c>
      <c r="F12" s="143">
        <f aca="true" t="shared" si="1" ref="F12:F37">G12+L12+M12</f>
        <v>1351000</v>
      </c>
      <c r="G12" s="250">
        <f aca="true" t="shared" si="2" ref="G12:G17">SUM(H12:K12)</f>
        <v>1351000</v>
      </c>
      <c r="H12" s="16">
        <v>135000</v>
      </c>
      <c r="I12" s="16">
        <v>540000</v>
      </c>
      <c r="J12" s="16"/>
      <c r="K12" s="16">
        <v>676000</v>
      </c>
      <c r="L12" s="219"/>
      <c r="M12" s="143"/>
      <c r="N12" s="143"/>
      <c r="O12" s="251" t="s">
        <v>123</v>
      </c>
    </row>
    <row r="13" spans="1:15" ht="110.25">
      <c r="A13" s="255"/>
      <c r="B13" s="251" t="s">
        <v>123</v>
      </c>
      <c r="C13" s="248" t="s">
        <v>123</v>
      </c>
      <c r="D13" s="214">
        <v>605</v>
      </c>
      <c r="E13" s="464" t="s">
        <v>82</v>
      </c>
      <c r="F13" s="143">
        <f t="shared" si="1"/>
        <v>2204000</v>
      </c>
      <c r="G13" s="250">
        <f t="shared" si="2"/>
        <v>2204000</v>
      </c>
      <c r="H13" s="16">
        <v>220000</v>
      </c>
      <c r="I13" s="16">
        <v>882000</v>
      </c>
      <c r="J13" s="16"/>
      <c r="K13" s="16">
        <v>1102000</v>
      </c>
      <c r="L13" s="219"/>
      <c r="M13" s="143"/>
      <c r="N13" s="143"/>
      <c r="O13" s="22" t="s">
        <v>123</v>
      </c>
    </row>
    <row r="14" spans="1:15" ht="94.5">
      <c r="A14" s="255"/>
      <c r="B14" s="251" t="s">
        <v>123</v>
      </c>
      <c r="C14" s="248" t="s">
        <v>123</v>
      </c>
      <c r="D14" s="214">
        <v>605</v>
      </c>
      <c r="E14" s="464" t="s">
        <v>83</v>
      </c>
      <c r="F14" s="143">
        <f t="shared" si="1"/>
        <v>1652000</v>
      </c>
      <c r="G14" s="250">
        <f t="shared" si="2"/>
        <v>1652000</v>
      </c>
      <c r="H14" s="16">
        <v>165000</v>
      </c>
      <c r="I14" s="16">
        <v>661000</v>
      </c>
      <c r="J14" s="16"/>
      <c r="K14" s="16">
        <v>826000</v>
      </c>
      <c r="L14" s="219"/>
      <c r="M14" s="143"/>
      <c r="N14" s="143"/>
      <c r="O14" s="22" t="s">
        <v>123</v>
      </c>
    </row>
    <row r="15" spans="1:15" ht="126">
      <c r="A15" s="255"/>
      <c r="B15" s="251" t="s">
        <v>123</v>
      </c>
      <c r="C15" s="248" t="s">
        <v>123</v>
      </c>
      <c r="D15" s="214">
        <v>605</v>
      </c>
      <c r="E15" s="464" t="s">
        <v>84</v>
      </c>
      <c r="F15" s="143">
        <f t="shared" si="1"/>
        <v>1158000</v>
      </c>
      <c r="G15" s="250">
        <f t="shared" si="2"/>
        <v>1158000</v>
      </c>
      <c r="H15" s="16">
        <v>102000</v>
      </c>
      <c r="I15" s="16">
        <f>407000+140000</f>
        <v>547000</v>
      </c>
      <c r="J15" s="16"/>
      <c r="K15" s="16">
        <v>509000</v>
      </c>
      <c r="L15" s="219"/>
      <c r="M15" s="143"/>
      <c r="N15" s="143"/>
      <c r="O15" s="213" t="s">
        <v>123</v>
      </c>
    </row>
    <row r="16" spans="1:15" ht="168">
      <c r="A16" s="255"/>
      <c r="B16" s="251" t="s">
        <v>123</v>
      </c>
      <c r="C16" s="248" t="s">
        <v>123</v>
      </c>
      <c r="D16" s="214">
        <v>605</v>
      </c>
      <c r="E16" s="88" t="s">
        <v>86</v>
      </c>
      <c r="F16" s="143">
        <f>G16+L16+M16</f>
        <v>5200000</v>
      </c>
      <c r="G16" s="250">
        <f t="shared" si="2"/>
        <v>5200000</v>
      </c>
      <c r="H16" s="16">
        <f>550000+2600000</f>
        <v>3150000</v>
      </c>
      <c r="I16" s="16">
        <v>2050000</v>
      </c>
      <c r="J16" s="16"/>
      <c r="K16" s="16"/>
      <c r="L16" s="219"/>
      <c r="M16" s="143"/>
      <c r="N16" s="143"/>
      <c r="O16" s="213" t="s">
        <v>123</v>
      </c>
    </row>
    <row r="17" spans="1:15" ht="84">
      <c r="A17" s="255"/>
      <c r="B17" s="251" t="s">
        <v>123</v>
      </c>
      <c r="C17" s="248" t="s">
        <v>123</v>
      </c>
      <c r="D17" s="214">
        <v>605</v>
      </c>
      <c r="E17" s="88" t="s">
        <v>85</v>
      </c>
      <c r="F17" s="143">
        <f t="shared" si="1"/>
        <v>600000</v>
      </c>
      <c r="G17" s="250">
        <f t="shared" si="2"/>
        <v>600000</v>
      </c>
      <c r="H17" s="16">
        <f>60000+300000</f>
        <v>360000</v>
      </c>
      <c r="I17" s="16">
        <v>240000</v>
      </c>
      <c r="J17" s="16"/>
      <c r="K17" s="16"/>
      <c r="L17" s="219"/>
      <c r="M17" s="143"/>
      <c r="N17" s="143"/>
      <c r="O17" s="22" t="s">
        <v>123</v>
      </c>
    </row>
    <row r="18" spans="1:15" ht="96">
      <c r="A18" s="255"/>
      <c r="B18" s="248">
        <v>600</v>
      </c>
      <c r="C18" s="248">
        <v>60014</v>
      </c>
      <c r="D18" s="214">
        <v>605</v>
      </c>
      <c r="E18" s="88" t="s">
        <v>59</v>
      </c>
      <c r="F18" s="143">
        <f t="shared" si="1"/>
        <v>3120000</v>
      </c>
      <c r="G18" s="250">
        <f aca="true" t="shared" si="3" ref="G18:G24">SUM(H18:K18)</f>
        <v>0</v>
      </c>
      <c r="H18" s="336"/>
      <c r="I18" s="336"/>
      <c r="J18" s="336">
        <v>0</v>
      </c>
      <c r="K18" s="336">
        <v>0</v>
      </c>
      <c r="L18" s="355">
        <f>1248000+312000+1560000</f>
        <v>3120000</v>
      </c>
      <c r="M18" s="336"/>
      <c r="N18" s="336"/>
      <c r="O18" s="251" t="s">
        <v>123</v>
      </c>
    </row>
    <row r="19" spans="1:15" ht="60">
      <c r="A19" s="255"/>
      <c r="B19" s="251" t="s">
        <v>123</v>
      </c>
      <c r="C19" s="248" t="s">
        <v>123</v>
      </c>
      <c r="D19" s="214">
        <v>605</v>
      </c>
      <c r="E19" s="88" t="s">
        <v>60</v>
      </c>
      <c r="F19" s="143">
        <f t="shared" si="1"/>
        <v>600000</v>
      </c>
      <c r="G19" s="250">
        <f t="shared" si="3"/>
        <v>0</v>
      </c>
      <c r="H19" s="16"/>
      <c r="I19" s="16"/>
      <c r="J19" s="16"/>
      <c r="K19" s="16"/>
      <c r="L19" s="219">
        <v>600000</v>
      </c>
      <c r="M19" s="143"/>
      <c r="N19" s="143"/>
      <c r="O19" s="22" t="s">
        <v>123</v>
      </c>
    </row>
    <row r="20" spans="1:15" ht="48">
      <c r="A20" s="255"/>
      <c r="B20" s="251" t="s">
        <v>123</v>
      </c>
      <c r="C20" s="248" t="s">
        <v>123</v>
      </c>
      <c r="D20" s="214">
        <v>605</v>
      </c>
      <c r="E20" s="88" t="s">
        <v>61</v>
      </c>
      <c r="F20" s="143">
        <f t="shared" si="1"/>
        <v>400000</v>
      </c>
      <c r="G20" s="250">
        <f t="shared" si="3"/>
        <v>0</v>
      </c>
      <c r="H20" s="16"/>
      <c r="I20" s="16"/>
      <c r="J20" s="16"/>
      <c r="K20" s="16"/>
      <c r="L20" s="219">
        <v>400000</v>
      </c>
      <c r="M20" s="143"/>
      <c r="N20" s="143"/>
      <c r="O20" s="22" t="s">
        <v>123</v>
      </c>
    </row>
    <row r="21" spans="1:15" ht="60">
      <c r="A21" s="255"/>
      <c r="B21" s="251" t="s">
        <v>123</v>
      </c>
      <c r="C21" s="248" t="s">
        <v>123</v>
      </c>
      <c r="D21" s="214">
        <v>605</v>
      </c>
      <c r="E21" s="88" t="s">
        <v>427</v>
      </c>
      <c r="F21" s="143">
        <f t="shared" si="1"/>
        <v>4460000</v>
      </c>
      <c r="G21" s="250">
        <f t="shared" si="3"/>
        <v>0</v>
      </c>
      <c r="H21" s="16"/>
      <c r="I21" s="16"/>
      <c r="J21" s="16"/>
      <c r="K21" s="16"/>
      <c r="L21" s="219"/>
      <c r="M21" s="143">
        <v>4460000</v>
      </c>
      <c r="N21" s="143"/>
      <c r="O21" s="22" t="s">
        <v>123</v>
      </c>
    </row>
    <row r="22" spans="1:15" ht="62.25" customHeight="1">
      <c r="A22" s="255"/>
      <c r="B22" s="248" t="s">
        <v>123</v>
      </c>
      <c r="C22" s="248" t="s">
        <v>123</v>
      </c>
      <c r="D22" s="214">
        <v>605</v>
      </c>
      <c r="E22" s="88" t="s">
        <v>702</v>
      </c>
      <c r="F22" s="143">
        <f>G22+L22+M22</f>
        <v>1700000</v>
      </c>
      <c r="G22" s="250">
        <f t="shared" si="3"/>
        <v>0</v>
      </c>
      <c r="H22" s="336"/>
      <c r="I22" s="336"/>
      <c r="J22" s="336">
        <v>0</v>
      </c>
      <c r="K22" s="336">
        <v>0</v>
      </c>
      <c r="L22" s="355">
        <v>0</v>
      </c>
      <c r="M22" s="336">
        <v>1700000</v>
      </c>
      <c r="N22" s="336"/>
      <c r="O22" s="22" t="s">
        <v>123</v>
      </c>
    </row>
    <row r="23" spans="1:15" ht="62.25" customHeight="1">
      <c r="A23" s="255"/>
      <c r="B23" s="17" t="s">
        <v>40</v>
      </c>
      <c r="C23" s="17" t="s">
        <v>40</v>
      </c>
      <c r="D23" s="214" t="s">
        <v>40</v>
      </c>
      <c r="E23" s="379" t="s">
        <v>39</v>
      </c>
      <c r="F23" s="143">
        <f>G23+L23+M23</f>
        <v>200000</v>
      </c>
      <c r="G23" s="250">
        <f t="shared" si="3"/>
        <v>200000</v>
      </c>
      <c r="H23" s="336">
        <v>50000</v>
      </c>
      <c r="I23" s="336">
        <v>150000</v>
      </c>
      <c r="J23" s="336"/>
      <c r="K23" s="336"/>
      <c r="L23" s="355"/>
      <c r="M23" s="336"/>
      <c r="N23" s="336"/>
      <c r="O23" s="22" t="s">
        <v>40</v>
      </c>
    </row>
    <row r="24" spans="1:15" ht="101.25">
      <c r="A24" s="255"/>
      <c r="B24" s="248" t="s">
        <v>123</v>
      </c>
      <c r="C24" s="248" t="s">
        <v>123</v>
      </c>
      <c r="D24" s="214">
        <v>605</v>
      </c>
      <c r="E24" s="345" t="s">
        <v>38</v>
      </c>
      <c r="F24" s="143">
        <f>G24+L24+M24</f>
        <v>940000</v>
      </c>
      <c r="G24" s="250">
        <f t="shared" si="3"/>
        <v>940000</v>
      </c>
      <c r="H24" s="336">
        <f>100000+440000</f>
        <v>540000</v>
      </c>
      <c r="I24" s="336">
        <v>400000</v>
      </c>
      <c r="J24" s="336">
        <v>0</v>
      </c>
      <c r="K24" s="336">
        <v>0</v>
      </c>
      <c r="L24" s="355">
        <v>0</v>
      </c>
      <c r="M24" s="336"/>
      <c r="N24" s="336"/>
      <c r="O24" s="22" t="s">
        <v>123</v>
      </c>
    </row>
    <row r="25" spans="1:15" ht="78" customHeight="1">
      <c r="A25" s="255">
        <v>2</v>
      </c>
      <c r="B25" s="248" t="s">
        <v>123</v>
      </c>
      <c r="C25" s="248" t="s">
        <v>123</v>
      </c>
      <c r="D25" s="214">
        <v>605</v>
      </c>
      <c r="E25" s="88" t="s">
        <v>403</v>
      </c>
      <c r="F25" s="143">
        <f t="shared" si="1"/>
        <v>20492074</v>
      </c>
      <c r="G25" s="250">
        <f>SUM(H25:K25)</f>
        <v>823000</v>
      </c>
      <c r="H25" s="336">
        <f>325000+525000-27000+103000-103000</f>
        <v>823000</v>
      </c>
      <c r="I25" s="336"/>
      <c r="J25" s="336"/>
      <c r="K25" s="336"/>
      <c r="L25" s="336">
        <v>9942036</v>
      </c>
      <c r="M25" s="355">
        <v>9727038</v>
      </c>
      <c r="N25" s="355"/>
      <c r="O25" s="248" t="s">
        <v>588</v>
      </c>
    </row>
    <row r="26" spans="1:15" ht="78" customHeight="1">
      <c r="A26" s="255">
        <v>3</v>
      </c>
      <c r="B26" s="248" t="s">
        <v>123</v>
      </c>
      <c r="C26" s="248" t="s">
        <v>123</v>
      </c>
      <c r="D26" s="214">
        <v>605</v>
      </c>
      <c r="E26" s="88" t="s">
        <v>35</v>
      </c>
      <c r="F26" s="143">
        <f t="shared" si="1"/>
        <v>250000</v>
      </c>
      <c r="G26" s="250">
        <f>SUM(H26:K26)</f>
        <v>250000</v>
      </c>
      <c r="H26" s="336">
        <v>250000</v>
      </c>
      <c r="I26" s="336"/>
      <c r="J26" s="336"/>
      <c r="K26" s="336"/>
      <c r="L26" s="336"/>
      <c r="M26" s="355"/>
      <c r="N26" s="355"/>
      <c r="O26" s="248" t="s">
        <v>588</v>
      </c>
    </row>
    <row r="27" spans="1:15" ht="178.5">
      <c r="A27" s="255">
        <v>4</v>
      </c>
      <c r="B27" s="248">
        <v>700</v>
      </c>
      <c r="C27" s="248">
        <v>70005</v>
      </c>
      <c r="D27" s="356">
        <v>6050</v>
      </c>
      <c r="E27" s="371" t="s">
        <v>3</v>
      </c>
      <c r="F27" s="143">
        <f t="shared" si="1"/>
        <v>9000</v>
      </c>
      <c r="G27" s="250">
        <f>SUM(H27:K27)</f>
        <v>9000</v>
      </c>
      <c r="H27" s="336">
        <f>2!N55</f>
        <v>9000</v>
      </c>
      <c r="I27" s="336"/>
      <c r="J27" s="314"/>
      <c r="K27" s="336"/>
      <c r="L27" s="355"/>
      <c r="M27" s="336"/>
      <c r="N27" s="336"/>
      <c r="O27" s="346" t="s">
        <v>589</v>
      </c>
    </row>
    <row r="28" spans="1:15" ht="70.5" customHeight="1">
      <c r="A28" s="255">
        <v>5</v>
      </c>
      <c r="B28" s="346">
        <v>750</v>
      </c>
      <c r="C28" s="346">
        <v>75020</v>
      </c>
      <c r="D28" s="248">
        <v>606</v>
      </c>
      <c r="E28" s="86" t="s">
        <v>705</v>
      </c>
      <c r="F28" s="143">
        <f t="shared" si="1"/>
        <v>42000</v>
      </c>
      <c r="G28" s="250">
        <f aca="true" t="shared" si="4" ref="G28:G41">SUM(H28:K28)</f>
        <v>42000</v>
      </c>
      <c r="H28" s="336">
        <f>2!N147</f>
        <v>42000</v>
      </c>
      <c r="I28" s="336"/>
      <c r="J28" s="314"/>
      <c r="K28" s="336"/>
      <c r="L28" s="355"/>
      <c r="M28" s="336"/>
      <c r="N28" s="336"/>
      <c r="O28" s="346" t="s">
        <v>589</v>
      </c>
    </row>
    <row r="29" spans="1:15" ht="72">
      <c r="A29" s="255">
        <v>6</v>
      </c>
      <c r="B29" s="248">
        <v>750</v>
      </c>
      <c r="C29" s="248">
        <v>75020</v>
      </c>
      <c r="D29" s="251">
        <v>605</v>
      </c>
      <c r="E29" s="350" t="s">
        <v>10</v>
      </c>
      <c r="F29" s="143">
        <f t="shared" si="1"/>
        <v>132000</v>
      </c>
      <c r="G29" s="250">
        <f t="shared" si="4"/>
        <v>132000</v>
      </c>
      <c r="H29" s="336">
        <f>2!N146</f>
        <v>132000</v>
      </c>
      <c r="I29" s="336"/>
      <c r="J29" s="314"/>
      <c r="K29" s="336"/>
      <c r="L29" s="355"/>
      <c r="M29" s="336"/>
      <c r="N29" s="336"/>
      <c r="O29" s="346" t="s">
        <v>589</v>
      </c>
    </row>
    <row r="30" spans="1:15" ht="72">
      <c r="A30" s="255">
        <v>7</v>
      </c>
      <c r="B30" s="248">
        <v>750</v>
      </c>
      <c r="C30" s="248">
        <v>75020</v>
      </c>
      <c r="D30" s="251">
        <v>605</v>
      </c>
      <c r="E30" s="350" t="s">
        <v>15</v>
      </c>
      <c r="F30" s="143">
        <f t="shared" si="1"/>
        <v>19520</v>
      </c>
      <c r="G30" s="250">
        <f>SUM(H30:K30)</f>
        <v>19520</v>
      </c>
      <c r="H30" s="336">
        <v>19520</v>
      </c>
      <c r="I30" s="336"/>
      <c r="J30" s="314"/>
      <c r="K30" s="336"/>
      <c r="L30" s="355"/>
      <c r="M30" s="336"/>
      <c r="N30" s="336"/>
      <c r="O30" s="346" t="s">
        <v>589</v>
      </c>
    </row>
    <row r="31" spans="1:15" ht="70.5" customHeight="1">
      <c r="A31" s="255">
        <v>8</v>
      </c>
      <c r="B31" s="248">
        <v>758</v>
      </c>
      <c r="C31" s="144">
        <v>75818</v>
      </c>
      <c r="D31" s="248">
        <v>680</v>
      </c>
      <c r="E31" s="349" t="s">
        <v>126</v>
      </c>
      <c r="F31" s="357">
        <f t="shared" si="1"/>
        <v>200000</v>
      </c>
      <c r="G31" s="250">
        <f t="shared" si="4"/>
        <v>200000</v>
      </c>
      <c r="H31" s="336">
        <f>2!N188</f>
        <v>200000</v>
      </c>
      <c r="I31" s="336"/>
      <c r="J31" s="314"/>
      <c r="K31" s="336"/>
      <c r="L31" s="358"/>
      <c r="M31" s="336"/>
      <c r="N31" s="336"/>
      <c r="O31" s="346" t="s">
        <v>589</v>
      </c>
    </row>
    <row r="32" spans="1:15" ht="168.75">
      <c r="A32" s="351" t="s">
        <v>36</v>
      </c>
      <c r="B32" s="248">
        <v>801</v>
      </c>
      <c r="C32" s="248">
        <v>80130</v>
      </c>
      <c r="D32" s="248">
        <v>605</v>
      </c>
      <c r="E32" s="352" t="s">
        <v>5</v>
      </c>
      <c r="F32" s="143">
        <f t="shared" si="1"/>
        <v>4800000</v>
      </c>
      <c r="G32" s="250">
        <f>SUM(H32:K32)</f>
        <v>300000</v>
      </c>
      <c r="H32" s="336">
        <v>300000</v>
      </c>
      <c r="I32" s="336"/>
      <c r="J32" s="314"/>
      <c r="K32" s="336"/>
      <c r="L32" s="355">
        <v>4500000</v>
      </c>
      <c r="M32" s="336"/>
      <c r="N32" s="336"/>
      <c r="O32" s="346" t="s">
        <v>589</v>
      </c>
    </row>
    <row r="33" spans="1:15" ht="78.75">
      <c r="A33" s="255">
        <v>10</v>
      </c>
      <c r="B33" s="248">
        <v>801</v>
      </c>
      <c r="C33" s="248">
        <v>80130</v>
      </c>
      <c r="D33" s="248">
        <v>605</v>
      </c>
      <c r="E33" s="398" t="s">
        <v>68</v>
      </c>
      <c r="F33" s="357">
        <f t="shared" si="1"/>
        <v>230000</v>
      </c>
      <c r="G33" s="250">
        <f t="shared" si="4"/>
        <v>230000</v>
      </c>
      <c r="H33" s="336"/>
      <c r="I33" s="336">
        <v>230000</v>
      </c>
      <c r="J33" s="314"/>
      <c r="K33" s="336"/>
      <c r="L33" s="358"/>
      <c r="M33" s="336"/>
      <c r="N33" s="336"/>
      <c r="O33" s="374" t="s">
        <v>30</v>
      </c>
    </row>
    <row r="34" spans="1:15" ht="31.5">
      <c r="A34" s="255"/>
      <c r="B34" s="248"/>
      <c r="C34" s="248"/>
      <c r="D34" s="248">
        <v>606</v>
      </c>
      <c r="E34" s="398" t="s">
        <v>90</v>
      </c>
      <c r="F34" s="357">
        <f>G34+L34+M34</f>
        <v>10000</v>
      </c>
      <c r="G34" s="250">
        <f>SUM(H34:K34)</f>
        <v>10000</v>
      </c>
      <c r="H34" s="336">
        <v>10000</v>
      </c>
      <c r="I34" s="336"/>
      <c r="J34" s="314"/>
      <c r="K34" s="336"/>
      <c r="L34" s="358"/>
      <c r="M34" s="336"/>
      <c r="N34" s="336"/>
      <c r="O34" s="374" t="s">
        <v>30</v>
      </c>
    </row>
    <row r="35" spans="1:15" ht="78.75">
      <c r="A35" s="375" t="s">
        <v>47</v>
      </c>
      <c r="B35" s="248">
        <v>801</v>
      </c>
      <c r="C35" s="248">
        <v>80130</v>
      </c>
      <c r="D35" s="248">
        <v>605</v>
      </c>
      <c r="E35" s="352" t="s">
        <v>31</v>
      </c>
      <c r="F35" s="143">
        <f>G35+L35+M35</f>
        <v>122000</v>
      </c>
      <c r="G35" s="250">
        <f>SUM(H35:K35)</f>
        <v>0</v>
      </c>
      <c r="H35" s="336"/>
      <c r="I35" s="336"/>
      <c r="J35" s="314"/>
      <c r="K35" s="336"/>
      <c r="L35" s="355"/>
      <c r="M35" s="336">
        <v>122000</v>
      </c>
      <c r="N35" s="376">
        <v>5978000</v>
      </c>
      <c r="O35" s="346" t="s">
        <v>589</v>
      </c>
    </row>
    <row r="36" spans="1:15" ht="25.5">
      <c r="A36" s="375" t="s">
        <v>48</v>
      </c>
      <c r="B36" s="248">
        <v>853</v>
      </c>
      <c r="C36" s="248">
        <v>85395</v>
      </c>
      <c r="D36" s="248"/>
      <c r="E36" s="352" t="s">
        <v>49</v>
      </c>
      <c r="F36" s="143">
        <f>G36+L36+M36</f>
        <v>7200</v>
      </c>
      <c r="G36" s="250">
        <f>SUM(H36:K36)</f>
        <v>7200</v>
      </c>
      <c r="H36" s="336">
        <v>7200</v>
      </c>
      <c r="I36" s="336"/>
      <c r="J36" s="314"/>
      <c r="K36" s="336"/>
      <c r="L36" s="355"/>
      <c r="M36" s="336"/>
      <c r="N36" s="376"/>
      <c r="O36" s="346" t="s">
        <v>589</v>
      </c>
    </row>
    <row r="37" spans="1:15" ht="165.75">
      <c r="A37" s="255"/>
      <c r="B37" s="214" t="s">
        <v>703</v>
      </c>
      <c r="C37" s="144">
        <v>85201</v>
      </c>
      <c r="D37" s="248">
        <v>605</v>
      </c>
      <c r="E37" s="353" t="s">
        <v>2</v>
      </c>
      <c r="F37" s="143">
        <f t="shared" si="1"/>
        <v>760000</v>
      </c>
      <c r="G37" s="250">
        <f>SUM(H37:K37)</f>
        <v>760000</v>
      </c>
      <c r="H37" s="336">
        <v>530000</v>
      </c>
      <c r="I37" s="336"/>
      <c r="J37" s="314">
        <v>230000</v>
      </c>
      <c r="K37" s="336"/>
      <c r="L37" s="355"/>
      <c r="M37" s="336"/>
      <c r="N37" s="336"/>
      <c r="O37" s="346" t="s">
        <v>589</v>
      </c>
    </row>
    <row r="38" spans="1:15" ht="70.5" customHeight="1">
      <c r="A38" s="255"/>
      <c r="B38" s="214" t="s">
        <v>703</v>
      </c>
      <c r="C38" s="144">
        <v>85202</v>
      </c>
      <c r="D38" s="248">
        <v>605</v>
      </c>
      <c r="E38" s="349" t="s">
        <v>62</v>
      </c>
      <c r="F38" s="357">
        <f>G38+L38+M38-200000</f>
        <v>1720000</v>
      </c>
      <c r="G38" s="250">
        <f t="shared" si="4"/>
        <v>300000</v>
      </c>
      <c r="H38" s="336">
        <v>50000</v>
      </c>
      <c r="I38" s="336"/>
      <c r="J38" s="314">
        <v>250000</v>
      </c>
      <c r="K38" s="336"/>
      <c r="L38" s="358">
        <v>1620000</v>
      </c>
      <c r="M38" s="336"/>
      <c r="N38" s="336"/>
      <c r="O38" s="346" t="s">
        <v>657</v>
      </c>
    </row>
    <row r="39" spans="1:15" ht="33.75">
      <c r="A39" s="255"/>
      <c r="B39" s="248"/>
      <c r="C39" s="465" t="s">
        <v>642</v>
      </c>
      <c r="D39" s="465"/>
      <c r="E39" s="352" t="s">
        <v>16</v>
      </c>
      <c r="F39" s="143">
        <f aca="true" t="shared" si="5" ref="F39:F44">G39+L39+M39</f>
        <v>150000</v>
      </c>
      <c r="G39" s="250">
        <f t="shared" si="4"/>
        <v>150000</v>
      </c>
      <c r="H39" s="336"/>
      <c r="I39" s="336"/>
      <c r="J39" s="314">
        <v>150000</v>
      </c>
      <c r="K39" s="336"/>
      <c r="L39" s="355"/>
      <c r="M39" s="336"/>
      <c r="N39" s="336"/>
      <c r="O39" s="346" t="s">
        <v>589</v>
      </c>
    </row>
    <row r="40" spans="1:15" ht="102">
      <c r="A40" s="255"/>
      <c r="B40" s="248"/>
      <c r="C40" s="465" t="s">
        <v>642</v>
      </c>
      <c r="D40" s="465"/>
      <c r="E40" s="354" t="s">
        <v>1</v>
      </c>
      <c r="F40" s="143">
        <f t="shared" si="5"/>
        <v>150000</v>
      </c>
      <c r="G40" s="250">
        <f t="shared" si="4"/>
        <v>150000</v>
      </c>
      <c r="H40" s="336"/>
      <c r="I40" s="336"/>
      <c r="J40" s="314">
        <v>150000</v>
      </c>
      <c r="K40" s="336"/>
      <c r="L40" s="355"/>
      <c r="M40" s="336"/>
      <c r="N40" s="336"/>
      <c r="O40" s="346" t="s">
        <v>589</v>
      </c>
    </row>
    <row r="41" spans="1:15" ht="99" customHeight="1">
      <c r="A41" s="255"/>
      <c r="B41" s="248"/>
      <c r="C41" s="465" t="s">
        <v>642</v>
      </c>
      <c r="D41" s="465"/>
      <c r="E41" s="353" t="s">
        <v>80</v>
      </c>
      <c r="F41" s="143">
        <f t="shared" si="5"/>
        <v>60000</v>
      </c>
      <c r="G41" s="250">
        <f t="shared" si="4"/>
        <v>60000</v>
      </c>
      <c r="H41" s="336"/>
      <c r="I41" s="336"/>
      <c r="J41" s="314">
        <v>60000</v>
      </c>
      <c r="K41" s="336"/>
      <c r="L41" s="355"/>
      <c r="M41" s="336"/>
      <c r="N41" s="336"/>
      <c r="O41" s="346" t="s">
        <v>589</v>
      </c>
    </row>
    <row r="42" spans="1:15" ht="63.75">
      <c r="A42" s="255"/>
      <c r="B42" s="248">
        <v>6119</v>
      </c>
      <c r="C42" s="465" t="s">
        <v>642</v>
      </c>
      <c r="D42" s="465"/>
      <c r="E42" s="371" t="s">
        <v>37</v>
      </c>
      <c r="F42" s="143">
        <f t="shared" si="5"/>
        <v>155000</v>
      </c>
      <c r="G42" s="250">
        <f>SUM(H42:K42)</f>
        <v>155000</v>
      </c>
      <c r="H42" s="336"/>
      <c r="I42" s="336"/>
      <c r="J42" s="314">
        <v>155000</v>
      </c>
      <c r="K42" s="336"/>
      <c r="L42" s="355"/>
      <c r="M42" s="336"/>
      <c r="N42" s="336"/>
      <c r="O42" s="346" t="s">
        <v>589</v>
      </c>
    </row>
    <row r="43" spans="1:15" ht="72">
      <c r="A43" s="255"/>
      <c r="B43" s="248"/>
      <c r="C43" s="466" t="s">
        <v>614</v>
      </c>
      <c r="D43" s="466"/>
      <c r="E43" s="350" t="s">
        <v>14</v>
      </c>
      <c r="F43" s="143">
        <f t="shared" si="5"/>
        <v>30500</v>
      </c>
      <c r="G43" s="250">
        <f>SUM(H43:K43)</f>
        <v>30500</v>
      </c>
      <c r="H43" s="336"/>
      <c r="I43" s="336"/>
      <c r="J43" s="314">
        <f>30500</f>
        <v>30500</v>
      </c>
      <c r="K43" s="336"/>
      <c r="L43" s="355"/>
      <c r="M43" s="336"/>
      <c r="N43" s="336"/>
      <c r="O43" s="346" t="s">
        <v>589</v>
      </c>
    </row>
    <row r="44" spans="1:15" ht="89.25" customHeight="1">
      <c r="A44" s="255"/>
      <c r="B44" s="248"/>
      <c r="C44" s="466" t="s">
        <v>614</v>
      </c>
      <c r="D44" s="466"/>
      <c r="E44" s="349" t="s">
        <v>34</v>
      </c>
      <c r="F44" s="357">
        <f t="shared" si="5"/>
        <v>130000</v>
      </c>
      <c r="G44" s="250">
        <f>SUM(H44:K44)</f>
        <v>130000</v>
      </c>
      <c r="H44" s="336"/>
      <c r="I44" s="336"/>
      <c r="J44" s="314">
        <f>50000+80000</f>
        <v>130000</v>
      </c>
      <c r="K44" s="336"/>
      <c r="L44" s="358"/>
      <c r="M44" s="336"/>
      <c r="N44" s="336"/>
      <c r="O44" s="346" t="s">
        <v>589</v>
      </c>
    </row>
    <row r="45" spans="1:15" ht="22.5" customHeight="1">
      <c r="A45" s="255"/>
      <c r="B45" s="467" t="s">
        <v>136</v>
      </c>
      <c r="C45" s="467"/>
      <c r="D45" s="467"/>
      <c r="E45" s="467"/>
      <c r="F45" s="336">
        <f>SUM(F11:F44)</f>
        <v>53054294</v>
      </c>
      <c r="G45" s="336">
        <f>SUM(G11:G44)</f>
        <v>17063220</v>
      </c>
      <c r="H45" s="336">
        <f aca="true" t="shared" si="6" ref="H45:N45">SUM(H11:H44)</f>
        <v>7094720</v>
      </c>
      <c r="I45" s="336">
        <f t="shared" si="6"/>
        <v>5700000</v>
      </c>
      <c r="J45" s="336">
        <f t="shared" si="6"/>
        <v>1155500</v>
      </c>
      <c r="K45" s="336">
        <f t="shared" si="6"/>
        <v>3113000</v>
      </c>
      <c r="L45" s="336">
        <f t="shared" si="6"/>
        <v>20182036</v>
      </c>
      <c r="M45" s="377">
        <f t="shared" si="6"/>
        <v>16009038</v>
      </c>
      <c r="N45" s="377">
        <f t="shared" si="6"/>
        <v>5978000</v>
      </c>
      <c r="O45" s="53" t="s">
        <v>222</v>
      </c>
    </row>
    <row r="46" spans="1:15" ht="42.75" customHeight="1">
      <c r="A46" s="468" t="s">
        <v>0</v>
      </c>
      <c r="B46" s="468"/>
      <c r="C46" s="468"/>
      <c r="D46" s="468"/>
      <c r="E46" s="468"/>
      <c r="F46" s="248"/>
      <c r="G46" s="108">
        <f>G45-J45</f>
        <v>15907720</v>
      </c>
      <c r="H46" s="248"/>
      <c r="I46" s="248"/>
      <c r="J46" s="248"/>
      <c r="K46" s="248"/>
      <c r="L46" s="344"/>
      <c r="M46" s="248"/>
      <c r="N46" s="248"/>
      <c r="O46" s="248"/>
    </row>
  </sheetData>
  <sheetProtection/>
  <mergeCells count="26">
    <mergeCell ref="F3:F7"/>
    <mergeCell ref="H4:K4"/>
    <mergeCell ref="H5:H7"/>
    <mergeCell ref="I5:I7"/>
    <mergeCell ref="J5:J7"/>
    <mergeCell ref="K5:K7"/>
    <mergeCell ref="M4:M7"/>
    <mergeCell ref="C39:D39"/>
    <mergeCell ref="A3:A7"/>
    <mergeCell ref="B45:E45"/>
    <mergeCell ref="D3:D7"/>
    <mergeCell ref="C42:D42"/>
    <mergeCell ref="C44:D44"/>
    <mergeCell ref="C41:D41"/>
    <mergeCell ref="C40:D40"/>
    <mergeCell ref="C43:D43"/>
    <mergeCell ref="N4:N7"/>
    <mergeCell ref="A46:E46"/>
    <mergeCell ref="B1:O1"/>
    <mergeCell ref="B3:B7"/>
    <mergeCell ref="C3:C7"/>
    <mergeCell ref="E3:E7"/>
    <mergeCell ref="G3:M3"/>
    <mergeCell ref="O3:O7"/>
    <mergeCell ref="G4:G7"/>
    <mergeCell ref="L4:L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XXII/145/09
z dnia 23.04.2009 r.</oddHeader>
  </headerFooter>
</worksheet>
</file>

<file path=xl/worksheets/sheet4.xml><?xml version="1.0" encoding="utf-8"?>
<worksheet xmlns="http://schemas.openxmlformats.org/spreadsheetml/2006/main" xmlns:r="http://schemas.openxmlformats.org/officeDocument/2006/relationships">
  <dimension ref="A1:L42"/>
  <sheetViews>
    <sheetView zoomScalePageLayoutView="0" workbookViewId="0" topLeftCell="A36">
      <selection activeCell="E57" sqref="E57"/>
    </sheetView>
  </sheetViews>
  <sheetFormatPr defaultColWidth="9.00390625" defaultRowHeight="12.75"/>
  <cols>
    <col min="1" max="1" width="7.625" style="249" bestFit="1" customWidth="1"/>
    <col min="2" max="2" width="6.875" style="249" customWidth="1"/>
    <col min="3" max="3" width="7.75390625" style="249" customWidth="1"/>
    <col min="4" max="4" width="6.25390625" style="223" customWidth="1"/>
    <col min="5" max="5" width="17.875" style="249" customWidth="1"/>
    <col min="6" max="6" width="12.00390625" style="287" customWidth="1"/>
    <col min="7" max="7" width="12.75390625" style="287" customWidth="1"/>
    <col min="8" max="8" width="10.125" style="287" customWidth="1"/>
    <col min="9" max="9" width="11.25390625" style="287" bestFit="1" customWidth="1"/>
    <col min="10" max="10" width="13.125" style="287" customWidth="1"/>
    <col min="11" max="11" width="11.125" style="287" customWidth="1"/>
    <col min="12" max="12" width="22.625" style="249" customWidth="1"/>
    <col min="13" max="16384" width="9.125" style="249" customWidth="1"/>
  </cols>
  <sheetData>
    <row r="1" spans="3:12" ht="18">
      <c r="C1" s="12"/>
      <c r="D1" s="221"/>
      <c r="E1" s="12"/>
      <c r="F1" s="216" t="s">
        <v>7</v>
      </c>
      <c r="G1" s="12"/>
      <c r="H1" s="12"/>
      <c r="I1" s="12"/>
      <c r="J1" s="12"/>
      <c r="K1" s="12"/>
      <c r="L1" s="12"/>
    </row>
    <row r="2" spans="2:12" ht="10.5" customHeight="1">
      <c r="B2" s="12"/>
      <c r="C2" s="12"/>
      <c r="D2" s="221"/>
      <c r="E2" s="12"/>
      <c r="F2" s="87"/>
      <c r="G2" s="87"/>
      <c r="H2" s="87"/>
      <c r="I2" s="87"/>
      <c r="J2" s="87"/>
      <c r="K2" s="87"/>
      <c r="L2" s="8" t="s">
        <v>216</v>
      </c>
    </row>
    <row r="3" spans="1:12" s="35" customFormat="1" ht="12.75">
      <c r="A3" s="469" t="s">
        <v>137</v>
      </c>
      <c r="B3" s="408" t="s">
        <v>177</v>
      </c>
      <c r="C3" s="408" t="s">
        <v>215</v>
      </c>
      <c r="D3" s="411" t="s">
        <v>305</v>
      </c>
      <c r="E3" s="406" t="s">
        <v>308</v>
      </c>
      <c r="F3" s="410" t="s">
        <v>121</v>
      </c>
      <c r="G3" s="410" t="s">
        <v>8</v>
      </c>
      <c r="H3" s="410"/>
      <c r="I3" s="410"/>
      <c r="J3" s="410"/>
      <c r="K3" s="410"/>
      <c r="L3" s="406" t="s">
        <v>306</v>
      </c>
    </row>
    <row r="4" spans="1:12" s="35" customFormat="1" ht="12.75">
      <c r="A4" s="469"/>
      <c r="B4" s="408"/>
      <c r="C4" s="408"/>
      <c r="D4" s="411"/>
      <c r="E4" s="406"/>
      <c r="F4" s="410"/>
      <c r="G4" s="410" t="s">
        <v>9</v>
      </c>
      <c r="H4" s="410" t="s">
        <v>354</v>
      </c>
      <c r="I4" s="410"/>
      <c r="J4" s="410"/>
      <c r="K4" s="410"/>
      <c r="L4" s="406"/>
    </row>
    <row r="5" spans="1:12" s="35" customFormat="1" ht="12.75" customHeight="1">
      <c r="A5" s="469"/>
      <c r="B5" s="408"/>
      <c r="C5" s="408"/>
      <c r="D5" s="411"/>
      <c r="E5" s="406"/>
      <c r="F5" s="410"/>
      <c r="G5" s="410"/>
      <c r="H5" s="410" t="s">
        <v>307</v>
      </c>
      <c r="I5" s="406" t="str">
        <f>3!I5:I7</f>
        <v>obligacje,wolne środki
i pożyczki</v>
      </c>
      <c r="J5" s="410" t="str">
        <f>3!J5:J7</f>
        <v>środki pochodzące
 z innych  źródeł-Bi  C</v>
      </c>
      <c r="K5" s="409" t="str">
        <f>3!K5:K7</f>
        <v>dotacje rozwojowe</v>
      </c>
      <c r="L5" s="406"/>
    </row>
    <row r="6" spans="1:12" s="35" customFormat="1" ht="12.75">
      <c r="A6" s="469"/>
      <c r="B6" s="408"/>
      <c r="C6" s="408"/>
      <c r="D6" s="411"/>
      <c r="E6" s="406"/>
      <c r="F6" s="410"/>
      <c r="G6" s="410"/>
      <c r="H6" s="410"/>
      <c r="I6" s="406"/>
      <c r="J6" s="410"/>
      <c r="K6" s="409"/>
      <c r="L6" s="406"/>
    </row>
    <row r="7" spans="1:12" s="35" customFormat="1" ht="91.5" customHeight="1">
      <c r="A7" s="469"/>
      <c r="B7" s="408"/>
      <c r="C7" s="408"/>
      <c r="D7" s="411"/>
      <c r="E7" s="406"/>
      <c r="F7" s="410"/>
      <c r="G7" s="410"/>
      <c r="H7" s="410"/>
      <c r="I7" s="406"/>
      <c r="J7" s="410"/>
      <c r="K7" s="409"/>
      <c r="L7" s="406"/>
    </row>
    <row r="8" spans="1:12" ht="12.75">
      <c r="A8" s="228">
        <v>1</v>
      </c>
      <c r="B8" s="16">
        <v>2</v>
      </c>
      <c r="C8" s="16">
        <v>3</v>
      </c>
      <c r="D8" s="16">
        <v>4</v>
      </c>
      <c r="E8" s="16">
        <v>5</v>
      </c>
      <c r="F8" s="85">
        <v>6</v>
      </c>
      <c r="G8" s="212">
        <v>7</v>
      </c>
      <c r="H8" s="85">
        <v>8</v>
      </c>
      <c r="I8" s="85">
        <v>9</v>
      </c>
      <c r="J8" s="85">
        <v>10</v>
      </c>
      <c r="K8" s="85">
        <v>11</v>
      </c>
      <c r="L8" s="16">
        <v>12</v>
      </c>
    </row>
    <row r="9" spans="1:12" ht="157.5">
      <c r="A9" s="248">
        <v>1</v>
      </c>
      <c r="B9" s="16"/>
      <c r="C9" s="16"/>
      <c r="D9" s="16"/>
      <c r="E9" s="345" t="s">
        <v>132</v>
      </c>
      <c r="F9" s="227">
        <f aca="true" t="shared" si="0" ref="F9:K9">SUM(F11:F18)</f>
        <v>13305000</v>
      </c>
      <c r="G9" s="227">
        <f t="shared" si="0"/>
        <v>13305000</v>
      </c>
      <c r="H9" s="227">
        <f t="shared" si="0"/>
        <v>4722000</v>
      </c>
      <c r="I9" s="227">
        <f t="shared" si="0"/>
        <v>5470000</v>
      </c>
      <c r="J9" s="227">
        <f t="shared" si="0"/>
        <v>0</v>
      </c>
      <c r="K9" s="227">
        <f t="shared" si="0"/>
        <v>3113000</v>
      </c>
      <c r="L9" s="346" t="s">
        <v>124</v>
      </c>
    </row>
    <row r="10" spans="1:12" ht="12.75">
      <c r="A10" s="248"/>
      <c r="B10" s="16"/>
      <c r="C10" s="16"/>
      <c r="D10" s="16"/>
      <c r="E10" s="63" t="s">
        <v>131</v>
      </c>
      <c r="F10" s="85"/>
      <c r="G10" s="212"/>
      <c r="H10" s="85"/>
      <c r="I10" s="85"/>
      <c r="J10" s="85"/>
      <c r="K10" s="85"/>
      <c r="L10" s="16"/>
    </row>
    <row r="11" spans="1:12" ht="72">
      <c r="A11" s="255"/>
      <c r="B11" s="22">
        <v>600</v>
      </c>
      <c r="C11" s="248">
        <v>60014</v>
      </c>
      <c r="D11" s="214">
        <v>605</v>
      </c>
      <c r="E11" s="88" t="str">
        <f>3!E12</f>
        <v>Przebudowa drogi powiatowej nr 2021C Świerczynki ÷ Kowróz ÷ Ostaszewo w km 5+321÷6+822 na dł. 1,501 km</v>
      </c>
      <c r="F11" s="143">
        <f aca="true" t="shared" si="1" ref="F11:F17">G11</f>
        <v>1351000</v>
      </c>
      <c r="G11" s="212">
        <f aca="true" t="shared" si="2" ref="G11:G26">SUM(H11:K11)</f>
        <v>1351000</v>
      </c>
      <c r="H11" s="16">
        <f>3!H12</f>
        <v>135000</v>
      </c>
      <c r="I11" s="16">
        <f>3!I12</f>
        <v>540000</v>
      </c>
      <c r="J11" s="85"/>
      <c r="K11" s="85">
        <f>3!K12</f>
        <v>676000</v>
      </c>
      <c r="L11" s="248" t="s">
        <v>123</v>
      </c>
    </row>
    <row r="12" spans="1:12" ht="84">
      <c r="A12" s="255"/>
      <c r="B12" s="251" t="s">
        <v>123</v>
      </c>
      <c r="C12" s="248" t="s">
        <v>123</v>
      </c>
      <c r="D12" s="214">
        <v>605</v>
      </c>
      <c r="E12" s="88" t="str">
        <f>3!E13</f>
        <v>Przebudowa drogi powiatowej nr 2023C Chełmża ÷ Świętosław ÷ Węgorzyn w km 1+236÷3+036 na dł. 1,800 km</v>
      </c>
      <c r="F12" s="143">
        <f t="shared" si="1"/>
        <v>2204000</v>
      </c>
      <c r="G12" s="212">
        <f t="shared" si="2"/>
        <v>2204000</v>
      </c>
      <c r="H12" s="16">
        <f>3!H13</f>
        <v>220000</v>
      </c>
      <c r="I12" s="16">
        <f>3!I13</f>
        <v>882000</v>
      </c>
      <c r="J12" s="85"/>
      <c r="K12" s="85">
        <f>3!K13</f>
        <v>1102000</v>
      </c>
      <c r="L12" s="213" t="s">
        <v>123</v>
      </c>
    </row>
    <row r="13" spans="1:12" ht="72">
      <c r="A13" s="255"/>
      <c r="B13" s="251" t="s">
        <v>123</v>
      </c>
      <c r="C13" s="248" t="s">
        <v>123</v>
      </c>
      <c r="D13" s="214">
        <v>605</v>
      </c>
      <c r="E13" s="88" t="str">
        <f>3!E14</f>
        <v>Przebudowa drogi powiatowej nr 2019C Chełmża ÷ Brąchnowo ÷ Pigża w km 7+097÷9+197 na dł. 2,100 km</v>
      </c>
      <c r="F13" s="143">
        <f t="shared" si="1"/>
        <v>1652000</v>
      </c>
      <c r="G13" s="229">
        <f t="shared" si="2"/>
        <v>1652000</v>
      </c>
      <c r="H13" s="16">
        <v>165000</v>
      </c>
      <c r="I13" s="16">
        <f>3!I14</f>
        <v>661000</v>
      </c>
      <c r="J13" s="85"/>
      <c r="K13" s="85">
        <f>3!K14</f>
        <v>826000</v>
      </c>
      <c r="L13" s="213"/>
    </row>
    <row r="14" spans="1:12" ht="84">
      <c r="A14" s="255"/>
      <c r="B14" s="251" t="s">
        <v>123</v>
      </c>
      <c r="C14" s="248" t="s">
        <v>123</v>
      </c>
      <c r="D14" s="214">
        <v>605</v>
      </c>
      <c r="E14" s="88" t="str">
        <f>3!E15</f>
        <v>  Przebudowa drogi powiatowej nr 2132C Sitno ÷ Działyń ÷ Mazowsze ÷ Czernikowo w km 7+400÷9+025  na dł. 1,625 km                                            </v>
      </c>
      <c r="F14" s="143">
        <f t="shared" si="1"/>
        <v>1158000</v>
      </c>
      <c r="G14" s="229">
        <f t="shared" si="2"/>
        <v>1158000</v>
      </c>
      <c r="H14" s="16">
        <f>3!H15</f>
        <v>102000</v>
      </c>
      <c r="I14" s="16">
        <f>3!I15</f>
        <v>547000</v>
      </c>
      <c r="J14" s="85"/>
      <c r="K14" s="85">
        <f>3!K15</f>
        <v>509000</v>
      </c>
      <c r="L14" s="22" t="s">
        <v>123</v>
      </c>
    </row>
    <row r="15" spans="1:12" ht="193.5" customHeight="1">
      <c r="A15" s="255"/>
      <c r="B15" s="251" t="s">
        <v>123</v>
      </c>
      <c r="C15" s="248" t="s">
        <v>123</v>
      </c>
      <c r="D15" s="214">
        <v>605</v>
      </c>
      <c r="E15" s="88" t="str">
        <f>3!E16</f>
        <v>Przebudowa ciągu  komunikacyjnego ;drogi  powiatowej   nr 2132 Sitno-Działyń - Mazowsze-Czernikowo w  km  6+259 do  km  16+725 ;  drogi nr 2044  Czernikowo-Bobrowniki-Włocławek w  km  0+815 do  km 5+090 na  łączną długość  14,741   km .</v>
      </c>
      <c r="F15" s="143">
        <f>G15</f>
        <v>5200000</v>
      </c>
      <c r="G15" s="229">
        <f>SUM(H15:K15)</f>
        <v>5200000</v>
      </c>
      <c r="H15" s="16">
        <f>3!H16</f>
        <v>3150000</v>
      </c>
      <c r="I15" s="16">
        <f>3!I16</f>
        <v>2050000</v>
      </c>
      <c r="J15" s="85"/>
      <c r="K15" s="85"/>
      <c r="L15" s="22" t="s">
        <v>123</v>
      </c>
    </row>
    <row r="16" spans="1:12" ht="111.75" customHeight="1">
      <c r="A16" s="255"/>
      <c r="B16" s="251" t="s">
        <v>123</v>
      </c>
      <c r="C16" s="248" t="s">
        <v>123</v>
      </c>
      <c r="D16" s="214">
        <v>605</v>
      </c>
      <c r="E16" s="88" t="str">
        <f>3!E17</f>
        <v>Przebudowa drogi  powiatowej  nr  2019  C - Chełmża-Brąchnowo-Pigża od km 9+197 do km 10+743 -  na dł. 1,546  km</v>
      </c>
      <c r="F16" s="143">
        <f t="shared" si="1"/>
        <v>600000</v>
      </c>
      <c r="G16" s="229">
        <f t="shared" si="2"/>
        <v>600000</v>
      </c>
      <c r="H16" s="16">
        <f>3!H17</f>
        <v>360000</v>
      </c>
      <c r="I16" s="16">
        <f>3!I17</f>
        <v>240000</v>
      </c>
      <c r="J16" s="85"/>
      <c r="K16" s="85"/>
      <c r="L16" s="22" t="s">
        <v>123</v>
      </c>
    </row>
    <row r="17" spans="1:12" ht="101.25">
      <c r="A17" s="255"/>
      <c r="B17" s="251" t="s">
        <v>123</v>
      </c>
      <c r="C17" s="248" t="s">
        <v>123</v>
      </c>
      <c r="D17" s="214">
        <v>605</v>
      </c>
      <c r="E17" s="345" t="str">
        <f>3!E23</f>
        <v>Przebudowa   drogi  nr  2006 - Rozgarty -Górsk wraz  z  budową  zatoki  parkingowej  dla  obsługi   ruchu  turystycznego   w  miejscu  pamięci   Ks.  J.Popiełuszki   w  miejscowości  Górsk  </v>
      </c>
      <c r="F17" s="143">
        <f t="shared" si="1"/>
        <v>200000</v>
      </c>
      <c r="G17" s="229">
        <f>SUM(H17:K17)</f>
        <v>200000</v>
      </c>
      <c r="H17" s="85">
        <f>3!H23</f>
        <v>50000</v>
      </c>
      <c r="I17" s="85">
        <f>3!I23</f>
        <v>150000</v>
      </c>
      <c r="J17" s="85"/>
      <c r="K17" s="85"/>
      <c r="L17" s="22" t="s">
        <v>123</v>
      </c>
    </row>
    <row r="18" spans="1:12" ht="101.25">
      <c r="A18" s="255"/>
      <c r="B18" s="251" t="s">
        <v>123</v>
      </c>
      <c r="C18" s="248" t="s">
        <v>123</v>
      </c>
      <c r="D18" s="214">
        <v>605</v>
      </c>
      <c r="E18" s="345" t="str">
        <f>3!E24</f>
        <v>Przebudowa mostu drogowego  na  drodze  powiatowej    nr  2005 Łubianka  Czarne  Błoto   w  m. Zamek  Bierzgłowski  w  km  5+247  na  rzece  Struga  Toruńska   wraz  z  dojazdami </v>
      </c>
      <c r="F18" s="143">
        <f>G18</f>
        <v>940000</v>
      </c>
      <c r="G18" s="229">
        <f t="shared" si="2"/>
        <v>940000</v>
      </c>
      <c r="H18" s="85">
        <f>3!H24</f>
        <v>540000</v>
      </c>
      <c r="I18" s="85">
        <f>3!I24</f>
        <v>400000</v>
      </c>
      <c r="J18" s="85"/>
      <c r="K18" s="85"/>
      <c r="L18" s="22" t="s">
        <v>123</v>
      </c>
    </row>
    <row r="19" spans="1:12" ht="12.75">
      <c r="A19" s="248">
        <v>2</v>
      </c>
      <c r="B19" s="248"/>
      <c r="C19" s="248"/>
      <c r="D19" s="347">
        <v>605</v>
      </c>
      <c r="E19" s="88" t="str">
        <f>3!E26</f>
        <v>Budowa  chodników </v>
      </c>
      <c r="F19" s="143">
        <f>G19+500000</f>
        <v>750000</v>
      </c>
      <c r="G19" s="250">
        <f>SUM(H19:K19)</f>
        <v>250000</v>
      </c>
      <c r="H19" s="336">
        <f>3!H26</f>
        <v>250000</v>
      </c>
      <c r="I19" s="336"/>
      <c r="J19" s="336"/>
      <c r="K19" s="336"/>
      <c r="L19" s="22" t="s">
        <v>123</v>
      </c>
    </row>
    <row r="20" spans="1:12" ht="72">
      <c r="A20" s="248">
        <v>3</v>
      </c>
      <c r="B20" s="248"/>
      <c r="C20" s="248"/>
      <c r="D20" s="347" t="s">
        <v>125</v>
      </c>
      <c r="E20" s="88" t="s">
        <v>403</v>
      </c>
      <c r="F20" s="143">
        <v>21121250</v>
      </c>
      <c r="G20" s="250">
        <f t="shared" si="2"/>
        <v>823000</v>
      </c>
      <c r="H20" s="336">
        <f>3!H25</f>
        <v>823000</v>
      </c>
      <c r="I20" s="336"/>
      <c r="J20" s="336"/>
      <c r="K20" s="336"/>
      <c r="L20" s="22" t="s">
        <v>123</v>
      </c>
    </row>
    <row r="21" spans="1:12" ht="135">
      <c r="A21" s="248">
        <v>4</v>
      </c>
      <c r="B21" s="248">
        <v>700</v>
      </c>
      <c r="C21" s="248">
        <v>70005</v>
      </c>
      <c r="D21" s="222">
        <v>6060</v>
      </c>
      <c r="E21" s="470" t="str">
        <f>3!E27</f>
        <v>Opracowanie  projektu  budowlanego  pomieszczeń części  budynków  zlokalizowanych  przy  ul. Hallera   w  Chełmży  na  potrzeby  szkoły   Muzycznej (  wg  koncepcji  opracowanej   w  roku   2008   )-SZ.  MUZYCZNA  W  CHEŁMŻY .</v>
      </c>
      <c r="F21" s="336">
        <f>G21</f>
        <v>9000</v>
      </c>
      <c r="G21" s="250">
        <f t="shared" si="2"/>
        <v>9000</v>
      </c>
      <c r="H21" s="336">
        <f>3!H27</f>
        <v>9000</v>
      </c>
      <c r="I21" s="336"/>
      <c r="J21" s="336"/>
      <c r="K21" s="336"/>
      <c r="L21" s="346" t="s">
        <v>589</v>
      </c>
    </row>
    <row r="22" spans="1:12" ht="33.75">
      <c r="A22" s="248">
        <v>5</v>
      </c>
      <c r="B22" s="248">
        <v>750</v>
      </c>
      <c r="C22" s="248">
        <v>75020</v>
      </c>
      <c r="D22" s="228">
        <v>6050</v>
      </c>
      <c r="E22" s="349" t="s">
        <v>138</v>
      </c>
      <c r="F22" s="336">
        <f>SUM(G22)</f>
        <v>42000</v>
      </c>
      <c r="G22" s="250">
        <f t="shared" si="2"/>
        <v>42000</v>
      </c>
      <c r="H22" s="336">
        <f>3!G28</f>
        <v>42000</v>
      </c>
      <c r="I22" s="336"/>
      <c r="J22" s="314"/>
      <c r="K22" s="336"/>
      <c r="L22" s="346" t="s">
        <v>589</v>
      </c>
    </row>
    <row r="23" spans="1:12" ht="97.5" customHeight="1">
      <c r="A23" s="248">
        <v>6</v>
      </c>
      <c r="B23" s="248">
        <v>750</v>
      </c>
      <c r="C23" s="248">
        <v>75020</v>
      </c>
      <c r="D23" s="222">
        <v>6050</v>
      </c>
      <c r="E23" s="350" t="s">
        <v>13</v>
      </c>
      <c r="F23" s="336">
        <f>SUM(G23)</f>
        <v>132000</v>
      </c>
      <c r="G23" s="250">
        <f t="shared" si="2"/>
        <v>132000</v>
      </c>
      <c r="H23" s="336">
        <f>3!G29</f>
        <v>132000</v>
      </c>
      <c r="I23" s="336"/>
      <c r="J23" s="314"/>
      <c r="K23" s="336"/>
      <c r="L23" s="346" t="s">
        <v>589</v>
      </c>
    </row>
    <row r="24" spans="1:12" ht="97.5" customHeight="1">
      <c r="A24" s="248">
        <v>7</v>
      </c>
      <c r="B24" s="248">
        <v>852</v>
      </c>
      <c r="C24" s="248">
        <v>85218</v>
      </c>
      <c r="D24" s="222">
        <v>6050</v>
      </c>
      <c r="E24" s="350" t="s">
        <v>12</v>
      </c>
      <c r="F24" s="336">
        <f>SUM(G24)</f>
        <v>19520</v>
      </c>
      <c r="G24" s="250">
        <f t="shared" si="2"/>
        <v>19520</v>
      </c>
      <c r="H24" s="336">
        <v>19520</v>
      </c>
      <c r="I24" s="336"/>
      <c r="J24" s="314"/>
      <c r="K24" s="336"/>
      <c r="L24" s="346" t="s">
        <v>589</v>
      </c>
    </row>
    <row r="25" spans="1:12" ht="33.75">
      <c r="A25" s="248">
        <v>8</v>
      </c>
      <c r="B25" s="248">
        <v>758</v>
      </c>
      <c r="C25" s="248">
        <v>75818</v>
      </c>
      <c r="D25" s="228">
        <v>6800</v>
      </c>
      <c r="E25" s="349" t="s">
        <v>107</v>
      </c>
      <c r="F25" s="336">
        <f>SUM(G25)</f>
        <v>200000</v>
      </c>
      <c r="G25" s="250">
        <f t="shared" si="2"/>
        <v>200000</v>
      </c>
      <c r="H25" s="336">
        <f>3!H31</f>
        <v>200000</v>
      </c>
      <c r="I25" s="336"/>
      <c r="J25" s="314"/>
      <c r="K25" s="336"/>
      <c r="L25" s="346" t="s">
        <v>589</v>
      </c>
    </row>
    <row r="26" spans="1:12" ht="191.25">
      <c r="A26" s="351" t="s">
        <v>36</v>
      </c>
      <c r="B26" s="248">
        <v>801</v>
      </c>
      <c r="C26" s="248">
        <v>80130</v>
      </c>
      <c r="D26" s="248">
        <v>6050</v>
      </c>
      <c r="E26" s="352" t="str">
        <f>3!E32</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6" s="336">
        <f>G26</f>
        <v>300000</v>
      </c>
      <c r="G26" s="250">
        <f t="shared" si="2"/>
        <v>300000</v>
      </c>
      <c r="H26" s="336">
        <v>300000</v>
      </c>
      <c r="I26" s="336"/>
      <c r="J26" s="314"/>
      <c r="K26" s="336"/>
      <c r="L26" s="346" t="s">
        <v>704</v>
      </c>
    </row>
    <row r="27" spans="1:12" ht="56.25">
      <c r="A27" s="248">
        <v>10</v>
      </c>
      <c r="B27" s="248">
        <v>801</v>
      </c>
      <c r="C27" s="248">
        <v>80130</v>
      </c>
      <c r="D27" s="248">
        <v>605</v>
      </c>
      <c r="E27" s="349" t="str">
        <f>3!E33</f>
        <v>„Adaptacja  części  pomieszczeń  na   sale   edukacyjne   w  warsztatach  szkolnych „  </v>
      </c>
      <c r="F27" s="336">
        <f>1638000+G27</f>
        <v>1868000</v>
      </c>
      <c r="G27" s="250">
        <f aca="true" t="shared" si="3" ref="G27:G37">SUM(H27:K27)</f>
        <v>230000</v>
      </c>
      <c r="H27" s="336"/>
      <c r="I27" s="336">
        <f>3!I33</f>
        <v>230000</v>
      </c>
      <c r="J27" s="314"/>
      <c r="K27" s="336"/>
      <c r="L27" s="346" t="str">
        <f>3!O33</f>
        <v>Z.SZ. CKU Gronowo</v>
      </c>
    </row>
    <row r="28" spans="1:12" ht="12.75">
      <c r="A28" s="248"/>
      <c r="B28" s="248"/>
      <c r="C28" s="248"/>
      <c r="D28" s="248">
        <v>606</v>
      </c>
      <c r="E28" s="349" t="str">
        <f>3!E34</f>
        <v>Centrala  telefoniczna </v>
      </c>
      <c r="F28" s="74">
        <f>G28</f>
        <v>10000</v>
      </c>
      <c r="G28" s="250">
        <f t="shared" si="3"/>
        <v>10000</v>
      </c>
      <c r="H28" s="336">
        <f>3!H34</f>
        <v>10000</v>
      </c>
      <c r="I28" s="336"/>
      <c r="J28" s="314"/>
      <c r="K28" s="336"/>
      <c r="L28" s="346" t="str">
        <f>3!O34</f>
        <v>Z.SZ. CKU Gronowo</v>
      </c>
    </row>
    <row r="29" spans="1:12" ht="25.5">
      <c r="A29" s="248"/>
      <c r="B29" s="248">
        <v>853</v>
      </c>
      <c r="C29" s="248">
        <v>85395</v>
      </c>
      <c r="D29" s="385" t="s">
        <v>50</v>
      </c>
      <c r="E29" s="352" t="s">
        <v>49</v>
      </c>
      <c r="F29" s="336">
        <f>SUM(G29)</f>
        <v>7200</v>
      </c>
      <c r="G29" s="250">
        <f t="shared" si="3"/>
        <v>7200</v>
      </c>
      <c r="H29" s="336">
        <f>3!H36</f>
        <v>7200</v>
      </c>
      <c r="I29" s="336"/>
      <c r="J29" s="314"/>
      <c r="K29" s="336"/>
      <c r="L29" s="346" t="s">
        <v>589</v>
      </c>
    </row>
    <row r="30" spans="1:12" ht="123.75">
      <c r="A30" s="248"/>
      <c r="B30" s="214" t="s">
        <v>703</v>
      </c>
      <c r="C30" s="144">
        <v>85201</v>
      </c>
      <c r="D30" s="248">
        <v>6050</v>
      </c>
      <c r="E30" s="386" t="str">
        <f>3!E37</f>
        <v>Kontynuacja robót budowlanych w obiektach zlokalizowanych przy ul. Hallera 25 w Chełmży zmierzających do adaptacji budynku dla potrzeb Placówki  Opiekuńczo-  Wychowawczej-  POW  GŁUCHOWO </v>
      </c>
      <c r="F30" s="336">
        <f>856000+G30</f>
        <v>1616000</v>
      </c>
      <c r="G30" s="250">
        <f t="shared" si="3"/>
        <v>760000</v>
      </c>
      <c r="H30" s="336">
        <v>530000</v>
      </c>
      <c r="I30" s="336"/>
      <c r="J30" s="314">
        <v>230000</v>
      </c>
      <c r="K30" s="336"/>
      <c r="L30" s="346" t="s">
        <v>589</v>
      </c>
    </row>
    <row r="31" spans="1:12" ht="33.75">
      <c r="A31" s="255"/>
      <c r="B31" s="214" t="s">
        <v>703</v>
      </c>
      <c r="C31" s="144">
        <v>85202</v>
      </c>
      <c r="D31" s="248">
        <v>605</v>
      </c>
      <c r="E31" s="349" t="str">
        <f>3!E38</f>
        <v>Standaryzacja  DPS</v>
      </c>
      <c r="F31" s="336">
        <f>200000+1720000</f>
        <v>1920000</v>
      </c>
      <c r="G31" s="250">
        <f t="shared" si="3"/>
        <v>300000</v>
      </c>
      <c r="H31" s="336">
        <f>3!H38</f>
        <v>50000</v>
      </c>
      <c r="I31" s="336"/>
      <c r="J31" s="314">
        <v>250000</v>
      </c>
      <c r="K31" s="336"/>
      <c r="L31" s="346" t="s">
        <v>658</v>
      </c>
    </row>
    <row r="32" spans="1:12" ht="33.75">
      <c r="A32" s="255"/>
      <c r="B32" s="248"/>
      <c r="C32" s="465" t="s">
        <v>642</v>
      </c>
      <c r="D32" s="465"/>
      <c r="E32" s="352" t="str">
        <f>3!E39</f>
        <v>Modernizacja  oczyszczalni ścieków  -  Z.SZ.  CKU  GRONOWO</v>
      </c>
      <c r="F32" s="336">
        <f>SUM(G32)</f>
        <v>150000</v>
      </c>
      <c r="G32" s="250">
        <f t="shared" si="3"/>
        <v>150000</v>
      </c>
      <c r="H32" s="336"/>
      <c r="I32" s="336"/>
      <c r="J32" s="314">
        <v>150000</v>
      </c>
      <c r="K32" s="336"/>
      <c r="L32" s="346" t="s">
        <v>589</v>
      </c>
    </row>
    <row r="33" spans="1:12" ht="102">
      <c r="A33" s="255"/>
      <c r="B33" s="248"/>
      <c r="C33" s="248" t="s">
        <v>614</v>
      </c>
      <c r="D33" s="248"/>
      <c r="E33" s="354" t="str">
        <f>3!E40</f>
        <v>Termomodernizacja budynków warsztatów (ocieplenie ścian i połaci dachu, wymiana okien)- Z.SZ.  CKU  GRONOWO</v>
      </c>
      <c r="F33" s="336">
        <f>G33</f>
        <v>150000</v>
      </c>
      <c r="G33" s="250">
        <f t="shared" si="3"/>
        <v>150000</v>
      </c>
      <c r="H33" s="336"/>
      <c r="I33" s="336"/>
      <c r="J33" s="314">
        <f>3!J39</f>
        <v>150000</v>
      </c>
      <c r="K33" s="336"/>
      <c r="L33" s="346" t="s">
        <v>589</v>
      </c>
    </row>
    <row r="34" spans="1:12" ht="102">
      <c r="A34" s="248"/>
      <c r="B34" s="248"/>
      <c r="C34" s="465" t="s">
        <v>642</v>
      </c>
      <c r="D34" s="465"/>
      <c r="E34" s="353" t="str">
        <f>3!E41</f>
        <v>Przełożenie pokrycia dachu na segmencie "A" budynku -  DPS   WIELKA  NIESZAWKA ,  termoizolacja  obiektu </v>
      </c>
      <c r="F34" s="336">
        <f>SUM(G34)</f>
        <v>60000</v>
      </c>
      <c r="G34" s="250">
        <f t="shared" si="3"/>
        <v>60000</v>
      </c>
      <c r="H34" s="336"/>
      <c r="I34" s="336"/>
      <c r="J34" s="314">
        <v>60000</v>
      </c>
      <c r="K34" s="336"/>
      <c r="L34" s="346" t="s">
        <v>589</v>
      </c>
    </row>
    <row r="35" spans="1:12" ht="89.25">
      <c r="A35" s="255"/>
      <c r="B35" s="248"/>
      <c r="C35" s="465" t="s">
        <v>642</v>
      </c>
      <c r="D35" s="465"/>
      <c r="E35" s="354" t="str">
        <f>3!E42</f>
        <v>Poprawa  bezpieczeństwa  na   drogach   publicznych  poprzez wybudowanie   dróg  rowerowych</v>
      </c>
      <c r="F35" s="336">
        <f>SUM(G35)</f>
        <v>155000</v>
      </c>
      <c r="G35" s="250">
        <f t="shared" si="3"/>
        <v>155000</v>
      </c>
      <c r="H35" s="336"/>
      <c r="I35" s="336"/>
      <c r="J35" s="314">
        <f>3!J42</f>
        <v>155000</v>
      </c>
      <c r="K35" s="336"/>
      <c r="L35" s="346" t="s">
        <v>589</v>
      </c>
    </row>
    <row r="36" spans="1:12" ht="72">
      <c r="A36" s="255"/>
      <c r="B36" s="248"/>
      <c r="C36" s="466" t="s">
        <v>614</v>
      </c>
      <c r="D36" s="466"/>
      <c r="E36" s="350" t="s">
        <v>11</v>
      </c>
      <c r="F36" s="336"/>
      <c r="G36" s="250">
        <f t="shared" si="3"/>
        <v>30500</v>
      </c>
      <c r="H36" s="336"/>
      <c r="I36" s="336"/>
      <c r="J36" s="314">
        <v>30500</v>
      </c>
      <c r="K36" s="336"/>
      <c r="L36" s="346"/>
    </row>
    <row r="37" spans="1:12" ht="54" customHeight="1">
      <c r="A37" s="248"/>
      <c r="B37" s="248"/>
      <c r="C37" s="466" t="s">
        <v>169</v>
      </c>
      <c r="D37" s="466"/>
      <c r="E37" s="349" t="str">
        <f>3!E44</f>
        <v>Regały  przesuwne   dla  potrzeb   zasobu   geodezyjnego,skaner,ksero,inne</v>
      </c>
      <c r="F37" s="336">
        <f>SUM(G37)</f>
        <v>130000</v>
      </c>
      <c r="G37" s="250">
        <f t="shared" si="3"/>
        <v>130000</v>
      </c>
      <c r="H37" s="336"/>
      <c r="I37" s="336"/>
      <c r="J37" s="314">
        <f>3!J44</f>
        <v>130000</v>
      </c>
      <c r="K37" s="336"/>
      <c r="L37" s="346" t="s">
        <v>589</v>
      </c>
    </row>
    <row r="38" spans="1:12" ht="16.5" customHeight="1">
      <c r="A38" s="248"/>
      <c r="B38" s="467" t="s">
        <v>136</v>
      </c>
      <c r="C38" s="467"/>
      <c r="D38" s="467"/>
      <c r="E38" s="467"/>
      <c r="F38" s="336">
        <f aca="true" t="shared" si="4" ref="F38:K38">SUM(F11:F37)</f>
        <v>41944970</v>
      </c>
      <c r="G38" s="336">
        <f t="shared" si="4"/>
        <v>17063220</v>
      </c>
      <c r="H38" s="336">
        <f t="shared" si="4"/>
        <v>7094720</v>
      </c>
      <c r="I38" s="336">
        <f t="shared" si="4"/>
        <v>5700000</v>
      </c>
      <c r="J38" s="336">
        <f t="shared" si="4"/>
        <v>1155500</v>
      </c>
      <c r="K38" s="336">
        <f t="shared" si="4"/>
        <v>3113000</v>
      </c>
      <c r="L38" s="53" t="s">
        <v>222</v>
      </c>
    </row>
    <row r="39" spans="1:12" ht="27" customHeight="1">
      <c r="A39" s="468" t="s">
        <v>0</v>
      </c>
      <c r="B39" s="468"/>
      <c r="C39" s="468"/>
      <c r="D39" s="468"/>
      <c r="E39" s="468"/>
      <c r="F39" s="336"/>
      <c r="G39" s="108">
        <f>G38-J38</f>
        <v>15907720</v>
      </c>
      <c r="H39" s="336"/>
      <c r="I39" s="336"/>
      <c r="J39" s="336"/>
      <c r="K39" s="336"/>
      <c r="L39" s="248"/>
    </row>
    <row r="40" spans="6:11" ht="12.75">
      <c r="F40" s="249"/>
      <c r="G40" s="249"/>
      <c r="H40" s="249"/>
      <c r="I40" s="249"/>
      <c r="J40" s="249"/>
      <c r="K40" s="249"/>
    </row>
    <row r="41" spans="6:11" ht="12.75">
      <c r="F41" s="249"/>
      <c r="G41" s="249"/>
      <c r="H41" s="249"/>
      <c r="I41" s="249"/>
      <c r="J41" s="249"/>
      <c r="K41" s="249"/>
    </row>
    <row r="42" spans="6:11" ht="12.75">
      <c r="F42" s="249"/>
      <c r="G42" s="249"/>
      <c r="H42" s="249"/>
      <c r="I42" s="249"/>
      <c r="J42" s="249"/>
      <c r="K42" s="249"/>
    </row>
  </sheetData>
  <sheetProtection/>
  <mergeCells count="21">
    <mergeCell ref="C35:D35"/>
    <mergeCell ref="J5:J7"/>
    <mergeCell ref="I5:I7"/>
    <mergeCell ref="A39:E39"/>
    <mergeCell ref="B38:E38"/>
    <mergeCell ref="A3:A7"/>
    <mergeCell ref="C32:D32"/>
    <mergeCell ref="C37:D37"/>
    <mergeCell ref="B3:B7"/>
    <mergeCell ref="C36:D36"/>
    <mergeCell ref="C34:D34"/>
    <mergeCell ref="K5:K7"/>
    <mergeCell ref="C3:C7"/>
    <mergeCell ref="L3:L7"/>
    <mergeCell ref="G4:G7"/>
    <mergeCell ref="D3:D7"/>
    <mergeCell ref="F3:F7"/>
    <mergeCell ref="H4:K4"/>
    <mergeCell ref="H5:H7"/>
    <mergeCell ref="G3:K3"/>
    <mergeCell ref="E3:E7"/>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3a
do uchwały Rady Powiatu 
nr XXII/145/09
z dnia 23.04.2009 r.</oddHeader>
  </headerFooter>
</worksheet>
</file>

<file path=xl/worksheets/sheet5.xml><?xml version="1.0" encoding="utf-8"?>
<worksheet xmlns="http://schemas.openxmlformats.org/spreadsheetml/2006/main" xmlns:r="http://schemas.openxmlformats.org/officeDocument/2006/relationships">
  <dimension ref="B1:T235"/>
  <sheetViews>
    <sheetView zoomScalePageLayoutView="0" workbookViewId="0" topLeftCell="A162">
      <selection activeCell="D167" sqref="D167"/>
    </sheetView>
  </sheetViews>
  <sheetFormatPr defaultColWidth="10.25390625" defaultRowHeight="12.75"/>
  <cols>
    <col min="1" max="1" width="10.25390625" style="10" customWidth="1"/>
    <col min="2" max="2" width="3.625" style="10" bestFit="1" customWidth="1"/>
    <col min="3" max="3" width="19.75390625" style="267" customWidth="1"/>
    <col min="4" max="4" width="7.125" style="10" customWidth="1"/>
    <col min="5" max="5" width="10.625" style="10" customWidth="1"/>
    <col min="6" max="6" width="9.875" style="10" customWidth="1"/>
    <col min="7" max="8" width="10.125" style="10" bestFit="1" customWidth="1"/>
    <col min="9" max="9" width="9.00390625" style="10" customWidth="1"/>
    <col min="10" max="10" width="8.625" style="10" customWidth="1"/>
    <col min="11" max="11" width="7.625" style="10" customWidth="1"/>
    <col min="12" max="12" width="8.375" style="10" customWidth="1"/>
    <col min="13" max="13" width="9.75390625" style="10" customWidth="1"/>
    <col min="14" max="14" width="11.75390625" style="10" customWidth="1"/>
    <col min="15" max="15" width="10.375" style="10" customWidth="1"/>
    <col min="16" max="16" width="6.25390625" style="10" customWidth="1"/>
    <col min="17" max="17" width="5.00390625" style="10" customWidth="1"/>
    <col min="18" max="18" width="9.125" style="10" bestFit="1" customWidth="1"/>
    <col min="19" max="16384" width="10.25390625" style="10" customWidth="1"/>
  </cols>
  <sheetData>
    <row r="1" spans="2:18" ht="12.75">
      <c r="B1" s="412" t="s">
        <v>291</v>
      </c>
      <c r="C1" s="412"/>
      <c r="D1" s="412"/>
      <c r="E1" s="412"/>
      <c r="F1" s="412"/>
      <c r="G1" s="412"/>
      <c r="H1" s="412"/>
      <c r="I1" s="412"/>
      <c r="J1" s="412"/>
      <c r="K1" s="412"/>
      <c r="L1" s="412"/>
      <c r="M1" s="412"/>
      <c r="N1" s="412"/>
      <c r="O1" s="412"/>
      <c r="P1" s="412"/>
      <c r="Q1" s="412"/>
      <c r="R1" s="412"/>
    </row>
    <row r="3" spans="2:18" ht="11.25">
      <c r="B3" s="413" t="s">
        <v>234</v>
      </c>
      <c r="C3" s="414" t="s">
        <v>247</v>
      </c>
      <c r="D3" s="415" t="s">
        <v>248</v>
      </c>
      <c r="E3" s="414" t="s">
        <v>355</v>
      </c>
      <c r="F3" s="414" t="s">
        <v>295</v>
      </c>
      <c r="G3" s="413" t="s">
        <v>181</v>
      </c>
      <c r="H3" s="413"/>
      <c r="I3" s="413" t="s">
        <v>246</v>
      </c>
      <c r="J3" s="413"/>
      <c r="K3" s="413"/>
      <c r="L3" s="413"/>
      <c r="M3" s="413"/>
      <c r="N3" s="413"/>
      <c r="O3" s="413"/>
      <c r="P3" s="413"/>
      <c r="Q3" s="413"/>
      <c r="R3" s="413"/>
    </row>
    <row r="4" spans="2:18" ht="11.25">
      <c r="B4" s="413"/>
      <c r="C4" s="414"/>
      <c r="D4" s="415"/>
      <c r="E4" s="414"/>
      <c r="F4" s="414"/>
      <c r="G4" s="414" t="s">
        <v>292</v>
      </c>
      <c r="H4" s="414" t="s">
        <v>293</v>
      </c>
      <c r="I4" s="413">
        <v>2009</v>
      </c>
      <c r="J4" s="413"/>
      <c r="K4" s="413"/>
      <c r="L4" s="413"/>
      <c r="M4" s="413"/>
      <c r="N4" s="413"/>
      <c r="O4" s="413"/>
      <c r="P4" s="413"/>
      <c r="Q4" s="413"/>
      <c r="R4" s="413"/>
    </row>
    <row r="5" spans="2:18" ht="11.25">
      <c r="B5" s="413"/>
      <c r="C5" s="414"/>
      <c r="D5" s="415"/>
      <c r="E5" s="414"/>
      <c r="F5" s="414"/>
      <c r="G5" s="414"/>
      <c r="H5" s="414"/>
      <c r="I5" s="414" t="s">
        <v>250</v>
      </c>
      <c r="J5" s="413" t="s">
        <v>251</v>
      </c>
      <c r="K5" s="413"/>
      <c r="L5" s="413"/>
      <c r="M5" s="413"/>
      <c r="N5" s="413"/>
      <c r="O5" s="413"/>
      <c r="P5" s="413"/>
      <c r="Q5" s="413"/>
      <c r="R5" s="413"/>
    </row>
    <row r="6" spans="2:18" ht="14.25" customHeight="1">
      <c r="B6" s="413"/>
      <c r="C6" s="414"/>
      <c r="D6" s="415"/>
      <c r="E6" s="414"/>
      <c r="F6" s="414"/>
      <c r="G6" s="414"/>
      <c r="H6" s="414"/>
      <c r="I6" s="414"/>
      <c r="J6" s="413" t="s">
        <v>252</v>
      </c>
      <c r="K6" s="413"/>
      <c r="L6" s="413"/>
      <c r="M6" s="413"/>
      <c r="N6" s="413" t="s">
        <v>249</v>
      </c>
      <c r="O6" s="413"/>
      <c r="P6" s="413"/>
      <c r="Q6" s="413"/>
      <c r="R6" s="413"/>
    </row>
    <row r="7" spans="2:18" ht="12.75" customHeight="1">
      <c r="B7" s="413"/>
      <c r="C7" s="414"/>
      <c r="D7" s="415"/>
      <c r="E7" s="414"/>
      <c r="F7" s="414"/>
      <c r="G7" s="414"/>
      <c r="H7" s="414"/>
      <c r="I7" s="414"/>
      <c r="J7" s="414" t="s">
        <v>253</v>
      </c>
      <c r="K7" s="413" t="s">
        <v>254</v>
      </c>
      <c r="L7" s="413"/>
      <c r="M7" s="413"/>
      <c r="N7" s="414" t="s">
        <v>255</v>
      </c>
      <c r="O7" s="414" t="s">
        <v>254</v>
      </c>
      <c r="P7" s="414"/>
      <c r="Q7" s="414"/>
      <c r="R7" s="414"/>
    </row>
    <row r="8" spans="2:18" ht="48" customHeight="1">
      <c r="B8" s="413"/>
      <c r="C8" s="414"/>
      <c r="D8" s="415"/>
      <c r="E8" s="414"/>
      <c r="F8" s="414"/>
      <c r="G8" s="414"/>
      <c r="H8" s="414"/>
      <c r="I8" s="414"/>
      <c r="J8" s="414"/>
      <c r="K8" s="33" t="s">
        <v>294</v>
      </c>
      <c r="L8" s="33" t="s">
        <v>256</v>
      </c>
      <c r="M8" s="33" t="s">
        <v>257</v>
      </c>
      <c r="N8" s="414"/>
      <c r="O8" s="246" t="s">
        <v>258</v>
      </c>
      <c r="P8" s="246" t="s">
        <v>294</v>
      </c>
      <c r="Q8" s="246" t="s">
        <v>256</v>
      </c>
      <c r="R8" s="33" t="s">
        <v>259</v>
      </c>
    </row>
    <row r="9" spans="2:18" ht="35.25" customHeight="1">
      <c r="B9" s="11">
        <v>1</v>
      </c>
      <c r="C9" s="264">
        <v>2</v>
      </c>
      <c r="D9" s="11">
        <v>3</v>
      </c>
      <c r="E9" s="11">
        <v>4</v>
      </c>
      <c r="F9" s="11">
        <v>5</v>
      </c>
      <c r="G9" s="11">
        <v>6</v>
      </c>
      <c r="H9" s="11">
        <v>7</v>
      </c>
      <c r="I9" s="11">
        <v>8</v>
      </c>
      <c r="J9" s="11">
        <v>9</v>
      </c>
      <c r="K9" s="11">
        <v>10</v>
      </c>
      <c r="L9" s="11">
        <v>11</v>
      </c>
      <c r="M9" s="11">
        <v>12</v>
      </c>
      <c r="N9" s="11">
        <v>13</v>
      </c>
      <c r="O9" s="11">
        <v>14</v>
      </c>
      <c r="P9" s="11">
        <v>15</v>
      </c>
      <c r="Q9" s="11">
        <v>16</v>
      </c>
      <c r="R9" s="11">
        <v>17</v>
      </c>
    </row>
    <row r="10" spans="2:18" s="54" customFormat="1" ht="27.75" customHeight="1">
      <c r="B10" s="401">
        <v>1</v>
      </c>
      <c r="C10" s="471" t="s">
        <v>260</v>
      </c>
      <c r="D10" s="472" t="s">
        <v>222</v>
      </c>
      <c r="E10" s="472"/>
      <c r="F10" s="256">
        <f>F15+F23+F34</f>
        <v>27984450</v>
      </c>
      <c r="G10" s="256">
        <f aca="true" t="shared" si="0" ref="G10:R10">G15+G23+G34</f>
        <v>12297605</v>
      </c>
      <c r="H10" s="256">
        <f t="shared" si="0"/>
        <v>15686845</v>
      </c>
      <c r="I10" s="256">
        <f t="shared" si="0"/>
        <v>7838200</v>
      </c>
      <c r="J10" s="256">
        <f t="shared" si="0"/>
        <v>3836180</v>
      </c>
      <c r="K10" s="256">
        <f t="shared" si="0"/>
        <v>0</v>
      </c>
      <c r="L10" s="256">
        <f t="shared" si="0"/>
        <v>0</v>
      </c>
      <c r="M10" s="256">
        <f t="shared" si="0"/>
        <v>3836180</v>
      </c>
      <c r="N10" s="256">
        <f t="shared" si="0"/>
        <v>4002020</v>
      </c>
      <c r="O10" s="256">
        <f t="shared" si="0"/>
        <v>0</v>
      </c>
      <c r="P10" s="256">
        <f t="shared" si="0"/>
        <v>0</v>
      </c>
      <c r="Q10" s="256">
        <f t="shared" si="0"/>
        <v>0</v>
      </c>
      <c r="R10" s="256">
        <f t="shared" si="0"/>
        <v>4002020</v>
      </c>
    </row>
    <row r="11" spans="2:18" ht="15.75" customHeight="1">
      <c r="B11" s="473" t="s">
        <v>261</v>
      </c>
      <c r="C11" s="134" t="s">
        <v>262</v>
      </c>
      <c r="D11" s="416" t="s">
        <v>133</v>
      </c>
      <c r="E11" s="416"/>
      <c r="F11" s="416"/>
      <c r="G11" s="416"/>
      <c r="H11" s="416"/>
      <c r="I11" s="416"/>
      <c r="J11" s="416"/>
      <c r="K11" s="416"/>
      <c r="L11" s="416"/>
      <c r="M11" s="416"/>
      <c r="N11" s="416"/>
      <c r="O11" s="416"/>
      <c r="P11" s="416"/>
      <c r="Q11" s="416"/>
      <c r="R11" s="416"/>
    </row>
    <row r="12" spans="2:18" ht="12.75" customHeight="1">
      <c r="B12" s="473"/>
      <c r="C12" s="134" t="s">
        <v>263</v>
      </c>
      <c r="D12" s="416"/>
      <c r="E12" s="416"/>
      <c r="F12" s="416"/>
      <c r="G12" s="416"/>
      <c r="H12" s="416"/>
      <c r="I12" s="416"/>
      <c r="J12" s="416"/>
      <c r="K12" s="416"/>
      <c r="L12" s="416"/>
      <c r="M12" s="416"/>
      <c r="N12" s="416"/>
      <c r="O12" s="416"/>
      <c r="P12" s="416"/>
      <c r="Q12" s="416"/>
      <c r="R12" s="416"/>
    </row>
    <row r="13" spans="2:18" ht="12.75" customHeight="1">
      <c r="B13" s="473"/>
      <c r="C13" s="134" t="s">
        <v>264</v>
      </c>
      <c r="D13" s="416"/>
      <c r="E13" s="416"/>
      <c r="F13" s="416"/>
      <c r="G13" s="416"/>
      <c r="H13" s="416"/>
      <c r="I13" s="416"/>
      <c r="J13" s="416"/>
      <c r="K13" s="416"/>
      <c r="L13" s="416"/>
      <c r="M13" s="416"/>
      <c r="N13" s="416"/>
      <c r="O13" s="416"/>
      <c r="P13" s="416"/>
      <c r="Q13" s="416"/>
      <c r="R13" s="416"/>
    </row>
    <row r="14" spans="2:18" ht="68.25" customHeight="1">
      <c r="B14" s="473"/>
      <c r="C14" s="134" t="s">
        <v>265</v>
      </c>
      <c r="D14" s="416" t="s">
        <v>69</v>
      </c>
      <c r="E14" s="416"/>
      <c r="F14" s="416"/>
      <c r="G14" s="416"/>
      <c r="H14" s="416"/>
      <c r="I14" s="416"/>
      <c r="J14" s="416"/>
      <c r="K14" s="416"/>
      <c r="L14" s="416"/>
      <c r="M14" s="416"/>
      <c r="N14" s="416"/>
      <c r="O14" s="416"/>
      <c r="P14" s="416"/>
      <c r="Q14" s="416"/>
      <c r="R14" s="416"/>
    </row>
    <row r="15" spans="2:18" ht="12.75">
      <c r="B15" s="473"/>
      <c r="C15" s="134" t="s">
        <v>266</v>
      </c>
      <c r="D15" s="133"/>
      <c r="E15" s="231" t="s">
        <v>134</v>
      </c>
      <c r="F15" s="230">
        <f>SUM(F18:F21)</f>
        <v>6826000</v>
      </c>
      <c r="G15" s="230">
        <f aca="true" t="shared" si="1" ref="G15:R15">SUM(G18:G21)</f>
        <v>3413000</v>
      </c>
      <c r="H15" s="230">
        <f t="shared" si="1"/>
        <v>3413000</v>
      </c>
      <c r="I15" s="230">
        <f t="shared" si="1"/>
        <v>6826000</v>
      </c>
      <c r="J15" s="230">
        <f t="shared" si="1"/>
        <v>3413000</v>
      </c>
      <c r="K15" s="230">
        <f t="shared" si="1"/>
        <v>0</v>
      </c>
      <c r="L15" s="230">
        <f t="shared" si="1"/>
        <v>0</v>
      </c>
      <c r="M15" s="117">
        <f t="shared" si="1"/>
        <v>3413000</v>
      </c>
      <c r="N15" s="117">
        <f t="shared" si="1"/>
        <v>3413000</v>
      </c>
      <c r="O15" s="117">
        <f t="shared" si="1"/>
        <v>0</v>
      </c>
      <c r="P15" s="117">
        <f t="shared" si="1"/>
        <v>0</v>
      </c>
      <c r="Q15" s="117">
        <f t="shared" si="1"/>
        <v>0</v>
      </c>
      <c r="R15" s="117">
        <f t="shared" si="1"/>
        <v>3413000</v>
      </c>
    </row>
    <row r="16" spans="2:18" ht="12.75">
      <c r="B16" s="473"/>
      <c r="C16" s="134"/>
      <c r="D16" s="133"/>
      <c r="E16" s="134">
        <v>6058</v>
      </c>
      <c r="F16" s="117">
        <f aca="true" t="shared" si="2" ref="F16:F21">SUM(G16:H16)</f>
        <v>0</v>
      </c>
      <c r="G16" s="135"/>
      <c r="H16" s="135"/>
      <c r="I16" s="133">
        <f aca="true" t="shared" si="3" ref="I16:I21">J16+N16</f>
        <v>3413000</v>
      </c>
      <c r="J16" s="133">
        <f aca="true" t="shared" si="4" ref="J16:J21">SUM(K16:M16)</f>
        <v>3413000</v>
      </c>
      <c r="K16" s="133"/>
      <c r="L16" s="133"/>
      <c r="M16" s="135">
        <v>3413000</v>
      </c>
      <c r="N16" s="133">
        <f>SUM(O16:R16)</f>
        <v>0</v>
      </c>
      <c r="O16" s="133"/>
      <c r="P16" s="133"/>
      <c r="Q16" s="133"/>
      <c r="R16" s="135"/>
    </row>
    <row r="17" spans="2:18" ht="12.75">
      <c r="B17" s="473"/>
      <c r="C17" s="134"/>
      <c r="D17" s="133"/>
      <c r="E17" s="134">
        <v>6059</v>
      </c>
      <c r="F17" s="117">
        <f t="shared" si="2"/>
        <v>0</v>
      </c>
      <c r="G17" s="135"/>
      <c r="H17" s="135"/>
      <c r="I17" s="133">
        <f t="shared" si="3"/>
        <v>3413000</v>
      </c>
      <c r="J17" s="133">
        <f t="shared" si="4"/>
        <v>0</v>
      </c>
      <c r="K17" s="133"/>
      <c r="L17" s="133"/>
      <c r="M17" s="135"/>
      <c r="N17" s="133">
        <f>SUM(O17:R17)</f>
        <v>3413000</v>
      </c>
      <c r="O17" s="133"/>
      <c r="P17" s="133"/>
      <c r="Q17" s="133"/>
      <c r="R17" s="135">
        <v>3413000</v>
      </c>
    </row>
    <row r="18" spans="2:18" ht="12.75">
      <c r="B18" s="473"/>
      <c r="C18" s="265" t="s">
        <v>71</v>
      </c>
      <c r="D18" s="233"/>
      <c r="E18" s="233"/>
      <c r="F18" s="234">
        <f t="shared" si="2"/>
        <v>6826000</v>
      </c>
      <c r="G18" s="235">
        <f>M18</f>
        <v>3413000</v>
      </c>
      <c r="H18" s="235">
        <f>R18</f>
        <v>3413000</v>
      </c>
      <c r="I18" s="232">
        <f t="shared" si="3"/>
        <v>6826000</v>
      </c>
      <c r="J18" s="232">
        <f t="shared" si="4"/>
        <v>3413000</v>
      </c>
      <c r="K18" s="233">
        <f>SUM(K16:K17)</f>
        <v>0</v>
      </c>
      <c r="L18" s="233">
        <f>SUM(L16:L17)</f>
        <v>0</v>
      </c>
      <c r="M18" s="233">
        <f>SUM(M16:M17)</f>
        <v>3413000</v>
      </c>
      <c r="N18" s="232">
        <f>SUM(O18:R18)</f>
        <v>3413000</v>
      </c>
      <c r="O18" s="233">
        <f>SUM(O16:O17)</f>
        <v>0</v>
      </c>
      <c r="P18" s="233">
        <f>SUM(P16:P17)</f>
        <v>0</v>
      </c>
      <c r="Q18" s="233">
        <f>SUM(Q16:Q17)</f>
        <v>0</v>
      </c>
      <c r="R18" s="233">
        <f>SUM(R16:R17)</f>
        <v>3413000</v>
      </c>
    </row>
    <row r="19" spans="2:18" ht="11.25">
      <c r="B19" s="473"/>
      <c r="C19" s="134" t="s">
        <v>72</v>
      </c>
      <c r="D19" s="136"/>
      <c r="E19" s="136"/>
      <c r="F19" s="230">
        <f>SUM(G19:H19)</f>
        <v>0</v>
      </c>
      <c r="G19" s="135"/>
      <c r="H19" s="135"/>
      <c r="I19" s="133">
        <f t="shared" si="3"/>
        <v>0</v>
      </c>
      <c r="J19" s="133">
        <f t="shared" si="4"/>
        <v>0</v>
      </c>
      <c r="K19" s="136"/>
      <c r="L19" s="136"/>
      <c r="M19" s="136"/>
      <c r="N19" s="136"/>
      <c r="O19" s="136"/>
      <c r="P19" s="136"/>
      <c r="Q19" s="136"/>
      <c r="R19" s="136"/>
    </row>
    <row r="20" spans="2:18" ht="11.25">
      <c r="B20" s="473"/>
      <c r="C20" s="134" t="s">
        <v>73</v>
      </c>
      <c r="D20" s="136"/>
      <c r="E20" s="136"/>
      <c r="F20" s="230">
        <f t="shared" si="2"/>
        <v>0</v>
      </c>
      <c r="G20" s="135"/>
      <c r="H20" s="135"/>
      <c r="I20" s="133">
        <f t="shared" si="3"/>
        <v>0</v>
      </c>
      <c r="J20" s="133">
        <f t="shared" si="4"/>
        <v>0</v>
      </c>
      <c r="K20" s="136"/>
      <c r="L20" s="133"/>
      <c r="M20" s="136"/>
      <c r="N20" s="136"/>
      <c r="O20" s="133"/>
      <c r="P20" s="136"/>
      <c r="Q20" s="136"/>
      <c r="R20" s="136"/>
    </row>
    <row r="21" spans="2:18" ht="11.25">
      <c r="B21" s="473"/>
      <c r="C21" s="134" t="s">
        <v>74</v>
      </c>
      <c r="D21" s="136"/>
      <c r="E21" s="136"/>
      <c r="F21" s="230">
        <f t="shared" si="2"/>
        <v>0</v>
      </c>
      <c r="G21" s="135"/>
      <c r="H21" s="135"/>
      <c r="I21" s="133">
        <f t="shared" si="3"/>
        <v>0</v>
      </c>
      <c r="J21" s="133">
        <f t="shared" si="4"/>
        <v>0</v>
      </c>
      <c r="K21" s="136"/>
      <c r="L21" s="133"/>
      <c r="M21" s="136"/>
      <c r="N21" s="136"/>
      <c r="O21" s="133"/>
      <c r="P21" s="136"/>
      <c r="Q21" s="136"/>
      <c r="R21" s="136"/>
    </row>
    <row r="22" spans="2:18" ht="40.5" customHeight="1">
      <c r="B22" s="474"/>
      <c r="C22" s="134" t="s">
        <v>265</v>
      </c>
      <c r="D22" s="416" t="s">
        <v>648</v>
      </c>
      <c r="E22" s="416"/>
      <c r="F22" s="416"/>
      <c r="G22" s="416"/>
      <c r="H22" s="416"/>
      <c r="I22" s="416"/>
      <c r="J22" s="416"/>
      <c r="K22" s="416"/>
      <c r="L22" s="416"/>
      <c r="M22" s="416"/>
      <c r="N22" s="416"/>
      <c r="O22" s="416"/>
      <c r="P22" s="416"/>
      <c r="Q22" s="416"/>
      <c r="R22" s="416"/>
    </row>
    <row r="23" spans="2:18" ht="11.25">
      <c r="B23" s="474"/>
      <c r="C23" s="134" t="s">
        <v>266</v>
      </c>
      <c r="D23" s="133"/>
      <c r="E23" s="231" t="s">
        <v>134</v>
      </c>
      <c r="F23" s="230">
        <f>SUM(F24:F29)-F25</f>
        <v>21151250</v>
      </c>
      <c r="G23" s="230">
        <f aca="true" t="shared" si="5" ref="G23:R23">SUM(G24:G29)-G25</f>
        <v>8883525</v>
      </c>
      <c r="H23" s="230">
        <f t="shared" si="5"/>
        <v>12267725</v>
      </c>
      <c r="I23" s="230">
        <f t="shared" si="5"/>
        <v>1005000</v>
      </c>
      <c r="J23" s="230">
        <f t="shared" si="5"/>
        <v>422100</v>
      </c>
      <c r="K23" s="230">
        <f t="shared" si="5"/>
        <v>0</v>
      </c>
      <c r="L23" s="230">
        <f t="shared" si="5"/>
        <v>0</v>
      </c>
      <c r="M23" s="230">
        <f t="shared" si="5"/>
        <v>422100</v>
      </c>
      <c r="N23" s="230">
        <f t="shared" si="5"/>
        <v>582900</v>
      </c>
      <c r="O23" s="230">
        <f t="shared" si="5"/>
        <v>0</v>
      </c>
      <c r="P23" s="230">
        <f t="shared" si="5"/>
        <v>0</v>
      </c>
      <c r="Q23" s="230">
        <f t="shared" si="5"/>
        <v>0</v>
      </c>
      <c r="R23" s="230">
        <f t="shared" si="5"/>
        <v>582900</v>
      </c>
    </row>
    <row r="24" spans="2:18" ht="12.75">
      <c r="B24" s="474"/>
      <c r="C24" s="134">
        <v>2008</v>
      </c>
      <c r="D24" s="133"/>
      <c r="E24" s="134"/>
      <c r="F24" s="117">
        <f aca="true" t="shared" si="6" ref="F24:F29">SUM(G24:H24)</f>
        <v>477176</v>
      </c>
      <c r="G24" s="135">
        <v>200414</v>
      </c>
      <c r="H24" s="135">
        <v>276762</v>
      </c>
      <c r="I24" s="133">
        <f aca="true" t="shared" si="7" ref="I24:I29">J24+N24</f>
        <v>0</v>
      </c>
      <c r="J24" s="133">
        <f aca="true" t="shared" si="8" ref="J24:J29">SUM(K24:M24)</f>
        <v>0</v>
      </c>
      <c r="K24" s="133"/>
      <c r="L24" s="133"/>
      <c r="M24" s="135"/>
      <c r="N24" s="133">
        <f>SUM(O24:R24)</f>
        <v>0</v>
      </c>
      <c r="O24" s="133"/>
      <c r="P24" s="133"/>
      <c r="Q24" s="133"/>
      <c r="R24" s="135"/>
    </row>
    <row r="25" spans="2:18" s="364" customFormat="1" ht="23.25" customHeight="1">
      <c r="B25" s="475"/>
      <c r="C25" s="359">
        <v>2009</v>
      </c>
      <c r="D25" s="360"/>
      <c r="E25" s="360"/>
      <c r="F25" s="361">
        <f t="shared" si="6"/>
        <v>1005000</v>
      </c>
      <c r="G25" s="362">
        <f>G27</f>
        <v>422100</v>
      </c>
      <c r="H25" s="362">
        <f>SUM(H26:H27)</f>
        <v>582900</v>
      </c>
      <c r="I25" s="363">
        <f t="shared" si="7"/>
        <v>1005000</v>
      </c>
      <c r="J25" s="363">
        <f t="shared" si="8"/>
        <v>422100</v>
      </c>
      <c r="K25" s="362">
        <f>SUM(K26:K27)</f>
        <v>0</v>
      </c>
      <c r="L25" s="362">
        <f>SUM(L26:L27)</f>
        <v>0</v>
      </c>
      <c r="M25" s="362">
        <f>SUM(M26:M27)</f>
        <v>422100</v>
      </c>
      <c r="N25" s="363">
        <f>SUM(O25:R25)</f>
        <v>582900</v>
      </c>
      <c r="O25" s="362">
        <f>SUM(O26:O27)</f>
        <v>0</v>
      </c>
      <c r="P25" s="362">
        <f>SUM(P26:P27)</f>
        <v>0</v>
      </c>
      <c r="Q25" s="362">
        <f>SUM(Q26:Q27)</f>
        <v>0</v>
      </c>
      <c r="R25" s="362">
        <f>SUM(R26:R27)</f>
        <v>582900</v>
      </c>
    </row>
    <row r="26" spans="2:18" s="364" customFormat="1" ht="12.75">
      <c r="B26" s="475"/>
      <c r="C26" s="359"/>
      <c r="D26" s="360"/>
      <c r="E26" s="360">
        <v>6058</v>
      </c>
      <c r="F26" s="361">
        <f t="shared" si="6"/>
        <v>582900</v>
      </c>
      <c r="G26" s="362"/>
      <c r="H26" s="362">
        <f>I26</f>
        <v>582900</v>
      </c>
      <c r="I26" s="363">
        <f t="shared" si="7"/>
        <v>582900</v>
      </c>
      <c r="J26" s="363">
        <f t="shared" si="8"/>
        <v>0</v>
      </c>
      <c r="K26" s="362">
        <f>SUM(K27:K28)</f>
        <v>0</v>
      </c>
      <c r="L26" s="362">
        <f>SUM(L27:L28)</f>
        <v>0</v>
      </c>
      <c r="M26" s="365"/>
      <c r="N26" s="363">
        <f>SUM(O26:R26)</f>
        <v>582900</v>
      </c>
      <c r="O26" s="362">
        <f>SUM(O27:O28)</f>
        <v>0</v>
      </c>
      <c r="P26" s="362">
        <f>SUM(P27:P28)</f>
        <v>0</v>
      </c>
      <c r="Q26" s="362">
        <f>SUM(Q27:Q28)</f>
        <v>0</v>
      </c>
      <c r="R26" s="365">
        <v>582900</v>
      </c>
    </row>
    <row r="27" spans="2:18" s="364" customFormat="1" ht="12.75">
      <c r="B27" s="475"/>
      <c r="C27" s="359"/>
      <c r="D27" s="360"/>
      <c r="E27" s="360">
        <v>6059</v>
      </c>
      <c r="F27" s="361">
        <f t="shared" si="6"/>
        <v>422100</v>
      </c>
      <c r="G27" s="362">
        <f>I27</f>
        <v>422100</v>
      </c>
      <c r="H27" s="362"/>
      <c r="I27" s="363">
        <f t="shared" si="7"/>
        <v>422100</v>
      </c>
      <c r="J27" s="363">
        <f t="shared" si="8"/>
        <v>422100</v>
      </c>
      <c r="K27" s="360"/>
      <c r="L27" s="360"/>
      <c r="M27" s="365">
        <v>422100</v>
      </c>
      <c r="N27" s="363">
        <f>SUM(O27:R27)</f>
        <v>0</v>
      </c>
      <c r="O27" s="360"/>
      <c r="P27" s="360"/>
      <c r="Q27" s="360"/>
      <c r="R27" s="365"/>
    </row>
    <row r="28" spans="2:18" s="364" customFormat="1" ht="11.25">
      <c r="B28" s="475"/>
      <c r="C28" s="359">
        <v>2010</v>
      </c>
      <c r="D28" s="360"/>
      <c r="E28" s="360"/>
      <c r="F28" s="366">
        <f t="shared" si="6"/>
        <v>9942036</v>
      </c>
      <c r="G28" s="362">
        <v>4175655</v>
      </c>
      <c r="H28" s="362">
        <v>5766381</v>
      </c>
      <c r="I28" s="363">
        <f t="shared" si="7"/>
        <v>0</v>
      </c>
      <c r="J28" s="363">
        <f t="shared" si="8"/>
        <v>0</v>
      </c>
      <c r="K28" s="360"/>
      <c r="L28" s="360"/>
      <c r="M28" s="360"/>
      <c r="N28" s="363"/>
      <c r="O28" s="360"/>
      <c r="P28" s="360"/>
      <c r="Q28" s="360"/>
      <c r="R28" s="360"/>
    </row>
    <row r="29" spans="2:18" s="364" customFormat="1" ht="11.25">
      <c r="B29" s="475"/>
      <c r="C29" s="359">
        <v>2011</v>
      </c>
      <c r="D29" s="360"/>
      <c r="E29" s="360"/>
      <c r="F29" s="366">
        <f t="shared" si="6"/>
        <v>9727038</v>
      </c>
      <c r="G29" s="362">
        <v>4085356</v>
      </c>
      <c r="H29" s="362">
        <v>5641682</v>
      </c>
      <c r="I29" s="363">
        <f t="shared" si="7"/>
        <v>0</v>
      </c>
      <c r="J29" s="363">
        <f t="shared" si="8"/>
        <v>0</v>
      </c>
      <c r="K29" s="360"/>
      <c r="L29" s="363"/>
      <c r="M29" s="360"/>
      <c r="N29" s="363"/>
      <c r="O29" s="363"/>
      <c r="P29" s="360"/>
      <c r="Q29" s="360"/>
      <c r="R29" s="360"/>
    </row>
    <row r="30" spans="2:18" s="138" customFormat="1" ht="11.25" customHeight="1">
      <c r="B30" s="474" t="s">
        <v>43</v>
      </c>
      <c r="C30" s="134" t="s">
        <v>262</v>
      </c>
      <c r="D30" s="476" t="s">
        <v>44</v>
      </c>
      <c r="E30" s="476"/>
      <c r="F30" s="476"/>
      <c r="G30" s="476"/>
      <c r="H30" s="476"/>
      <c r="I30" s="476"/>
      <c r="J30" s="476"/>
      <c r="K30" s="476"/>
      <c r="L30" s="476"/>
      <c r="M30" s="476"/>
      <c r="N30" s="476"/>
      <c r="O30" s="476"/>
      <c r="P30" s="476"/>
      <c r="Q30" s="476"/>
      <c r="R30" s="476"/>
    </row>
    <row r="31" spans="2:18" s="138" customFormat="1" ht="11.25" customHeight="1">
      <c r="B31" s="474"/>
      <c r="C31" s="134" t="s">
        <v>263</v>
      </c>
      <c r="D31" s="476"/>
      <c r="E31" s="476"/>
      <c r="F31" s="476"/>
      <c r="G31" s="476"/>
      <c r="H31" s="476"/>
      <c r="I31" s="476"/>
      <c r="J31" s="476"/>
      <c r="K31" s="476"/>
      <c r="L31" s="476"/>
      <c r="M31" s="476"/>
      <c r="N31" s="476"/>
      <c r="O31" s="476"/>
      <c r="P31" s="476"/>
      <c r="Q31" s="476"/>
      <c r="R31" s="476"/>
    </row>
    <row r="32" spans="2:18" s="138" customFormat="1" ht="11.25" customHeight="1">
      <c r="B32" s="474"/>
      <c r="C32" s="134" t="s">
        <v>264</v>
      </c>
      <c r="D32" s="476"/>
      <c r="E32" s="476"/>
      <c r="F32" s="476"/>
      <c r="G32" s="476"/>
      <c r="H32" s="476"/>
      <c r="I32" s="476"/>
      <c r="J32" s="476"/>
      <c r="K32" s="476"/>
      <c r="L32" s="476"/>
      <c r="M32" s="476"/>
      <c r="N32" s="476"/>
      <c r="O32" s="476"/>
      <c r="P32" s="476"/>
      <c r="Q32" s="476"/>
      <c r="R32" s="476"/>
    </row>
    <row r="33" spans="2:18" s="138" customFormat="1" ht="11.25" customHeight="1">
      <c r="B33" s="474"/>
      <c r="C33" s="134" t="s">
        <v>265</v>
      </c>
      <c r="D33" s="476"/>
      <c r="E33" s="476"/>
      <c r="F33" s="476"/>
      <c r="G33" s="476"/>
      <c r="H33" s="476"/>
      <c r="I33" s="476"/>
      <c r="J33" s="476"/>
      <c r="K33" s="476"/>
      <c r="L33" s="476"/>
      <c r="M33" s="476"/>
      <c r="N33" s="476"/>
      <c r="O33" s="476"/>
      <c r="P33" s="476"/>
      <c r="Q33" s="476"/>
      <c r="R33" s="476"/>
    </row>
    <row r="34" spans="2:18" s="138" customFormat="1" ht="12.75">
      <c r="B34" s="474"/>
      <c r="C34" s="266" t="s">
        <v>266</v>
      </c>
      <c r="D34" s="34"/>
      <c r="E34" s="140" t="s">
        <v>45</v>
      </c>
      <c r="F34" s="117">
        <f>F35+F36</f>
        <v>7200</v>
      </c>
      <c r="G34" s="117">
        <f aca="true" t="shared" si="9" ref="G34:R34">G35+G36</f>
        <v>1080</v>
      </c>
      <c r="H34" s="117">
        <f t="shared" si="9"/>
        <v>6120</v>
      </c>
      <c r="I34" s="117">
        <f t="shared" si="9"/>
        <v>7200</v>
      </c>
      <c r="J34" s="117">
        <f t="shared" si="9"/>
        <v>1080</v>
      </c>
      <c r="K34" s="117">
        <f t="shared" si="9"/>
        <v>0</v>
      </c>
      <c r="L34" s="117">
        <f t="shared" si="9"/>
        <v>0</v>
      </c>
      <c r="M34" s="117">
        <f t="shared" si="9"/>
        <v>1080</v>
      </c>
      <c r="N34" s="117">
        <f t="shared" si="9"/>
        <v>6120</v>
      </c>
      <c r="O34" s="117">
        <f t="shared" si="9"/>
        <v>0</v>
      </c>
      <c r="P34" s="117">
        <f t="shared" si="9"/>
        <v>0</v>
      </c>
      <c r="Q34" s="117">
        <f t="shared" si="9"/>
        <v>0</v>
      </c>
      <c r="R34" s="117">
        <f t="shared" si="9"/>
        <v>6120</v>
      </c>
    </row>
    <row r="35" spans="2:18" s="364" customFormat="1" ht="12.75">
      <c r="B35" s="475"/>
      <c r="C35" s="359"/>
      <c r="D35" s="360"/>
      <c r="E35" s="360">
        <v>6068</v>
      </c>
      <c r="F35" s="361">
        <f>SUM(G35:H35)</f>
        <v>6120</v>
      </c>
      <c r="G35" s="362"/>
      <c r="H35" s="362">
        <f>I35</f>
        <v>6120</v>
      </c>
      <c r="I35" s="363">
        <f>J35+N35</f>
        <v>6120</v>
      </c>
      <c r="J35" s="363">
        <f>SUM(K35:M35)</f>
        <v>0</v>
      </c>
      <c r="K35" s="362">
        <f>SUM(K36:K36)</f>
        <v>0</v>
      </c>
      <c r="L35" s="362">
        <f>SUM(L36:L36)</f>
        <v>0</v>
      </c>
      <c r="M35" s="365"/>
      <c r="N35" s="363">
        <f>SUM(O35:R35)</f>
        <v>6120</v>
      </c>
      <c r="O35" s="362">
        <f>SUM(O36:O36)</f>
        <v>0</v>
      </c>
      <c r="P35" s="362">
        <f>SUM(P36:P36)</f>
        <v>0</v>
      </c>
      <c r="Q35" s="362">
        <f>SUM(Q36:Q36)</f>
        <v>0</v>
      </c>
      <c r="R35" s="365">
        <v>6120</v>
      </c>
    </row>
    <row r="36" spans="2:18" s="364" customFormat="1" ht="12.75">
      <c r="B36" s="475"/>
      <c r="C36" s="359"/>
      <c r="D36" s="360"/>
      <c r="E36" s="360">
        <v>6069</v>
      </c>
      <c r="F36" s="361">
        <f>SUM(G36:H36)</f>
        <v>1080</v>
      </c>
      <c r="G36" s="362">
        <f>I36</f>
        <v>1080</v>
      </c>
      <c r="H36" s="362"/>
      <c r="I36" s="363">
        <f>J36+N36</f>
        <v>1080</v>
      </c>
      <c r="J36" s="363">
        <f>SUM(K36:M36)</f>
        <v>1080</v>
      </c>
      <c r="K36" s="360"/>
      <c r="L36" s="360"/>
      <c r="M36" s="365">
        <v>1080</v>
      </c>
      <c r="N36" s="363">
        <f>SUM(O36:R36)</f>
        <v>0</v>
      </c>
      <c r="O36" s="360"/>
      <c r="P36" s="360"/>
      <c r="Q36" s="360"/>
      <c r="R36" s="365"/>
    </row>
    <row r="37" spans="2:18" s="384" customFormat="1" ht="11.25">
      <c r="B37" s="475"/>
      <c r="C37" s="359"/>
      <c r="D37" s="360"/>
      <c r="E37" s="360"/>
      <c r="F37" s="366"/>
      <c r="G37" s="362"/>
      <c r="H37" s="362"/>
      <c r="I37" s="363"/>
      <c r="J37" s="363"/>
      <c r="K37" s="360"/>
      <c r="L37" s="363"/>
      <c r="M37" s="360"/>
      <c r="N37" s="363"/>
      <c r="O37" s="363"/>
      <c r="P37" s="360"/>
      <c r="Q37" s="360"/>
      <c r="R37" s="360"/>
    </row>
    <row r="38" spans="2:18" s="138" customFormat="1" ht="11.25">
      <c r="B38" s="474"/>
      <c r="C38" s="134"/>
      <c r="D38" s="136"/>
      <c r="E38" s="136"/>
      <c r="F38" s="230"/>
      <c r="G38" s="135"/>
      <c r="H38" s="135"/>
      <c r="I38" s="133"/>
      <c r="J38" s="133"/>
      <c r="K38" s="136"/>
      <c r="L38" s="133"/>
      <c r="M38" s="136"/>
      <c r="N38" s="136"/>
      <c r="O38" s="133"/>
      <c r="P38" s="136"/>
      <c r="Q38" s="136"/>
      <c r="R38" s="136"/>
    </row>
    <row r="39" spans="2:18" s="54" customFormat="1" ht="27" customHeight="1">
      <c r="B39" s="401">
        <v>2</v>
      </c>
      <c r="C39" s="471" t="s">
        <v>269</v>
      </c>
      <c r="D39" s="472" t="s">
        <v>222</v>
      </c>
      <c r="E39" s="472"/>
      <c r="F39" s="256">
        <f aca="true" t="shared" si="10" ref="F39:R39">F44+F63+F89+F109+F152+F132+F176+F199+F225</f>
        <v>4826254</v>
      </c>
      <c r="G39" s="256">
        <f t="shared" si="10"/>
        <v>707399</v>
      </c>
      <c r="H39" s="256">
        <f t="shared" si="10"/>
        <v>4088833</v>
      </c>
      <c r="I39" s="256">
        <f t="shared" si="10"/>
        <v>3115692</v>
      </c>
      <c r="J39" s="256">
        <f t="shared" si="10"/>
        <v>442890</v>
      </c>
      <c r="K39" s="256">
        <f t="shared" si="10"/>
        <v>0</v>
      </c>
      <c r="L39" s="256">
        <f t="shared" si="10"/>
        <v>0</v>
      </c>
      <c r="M39" s="256">
        <f t="shared" si="10"/>
        <v>442890</v>
      </c>
      <c r="N39" s="256">
        <f t="shared" si="10"/>
        <v>2672802</v>
      </c>
      <c r="O39" s="256">
        <f t="shared" si="10"/>
        <v>0</v>
      </c>
      <c r="P39" s="256">
        <f t="shared" si="10"/>
        <v>0</v>
      </c>
      <c r="Q39" s="256">
        <f t="shared" si="10"/>
        <v>0</v>
      </c>
      <c r="R39" s="256">
        <f t="shared" si="10"/>
        <v>2676006</v>
      </c>
    </row>
    <row r="40" spans="2:18" ht="15.75" customHeight="1">
      <c r="B40" s="473" t="s">
        <v>270</v>
      </c>
      <c r="C40" s="134" t="s">
        <v>262</v>
      </c>
      <c r="D40" s="476" t="s">
        <v>140</v>
      </c>
      <c r="E40" s="476"/>
      <c r="F40" s="476"/>
      <c r="G40" s="476"/>
      <c r="H40" s="476"/>
      <c r="I40" s="476"/>
      <c r="J40" s="476"/>
      <c r="K40" s="476"/>
      <c r="L40" s="476"/>
      <c r="M40" s="476"/>
      <c r="N40" s="476"/>
      <c r="O40" s="476"/>
      <c r="P40" s="476"/>
      <c r="Q40" s="476"/>
      <c r="R40" s="476"/>
    </row>
    <row r="41" spans="2:18" ht="12.75" customHeight="1">
      <c r="B41" s="473"/>
      <c r="C41" s="134" t="s">
        <v>263</v>
      </c>
      <c r="D41" s="476"/>
      <c r="E41" s="476"/>
      <c r="F41" s="476"/>
      <c r="G41" s="476"/>
      <c r="H41" s="476"/>
      <c r="I41" s="476"/>
      <c r="J41" s="476"/>
      <c r="K41" s="476"/>
      <c r="L41" s="476"/>
      <c r="M41" s="476"/>
      <c r="N41" s="476"/>
      <c r="O41" s="476"/>
      <c r="P41" s="476"/>
      <c r="Q41" s="476"/>
      <c r="R41" s="476"/>
    </row>
    <row r="42" spans="2:18" ht="12.75" customHeight="1">
      <c r="B42" s="473"/>
      <c r="C42" s="134" t="s">
        <v>264</v>
      </c>
      <c r="D42" s="476"/>
      <c r="E42" s="476"/>
      <c r="F42" s="476"/>
      <c r="G42" s="476"/>
      <c r="H42" s="476"/>
      <c r="I42" s="476"/>
      <c r="J42" s="476"/>
      <c r="K42" s="476"/>
      <c r="L42" s="476"/>
      <c r="M42" s="476"/>
      <c r="N42" s="476"/>
      <c r="O42" s="476"/>
      <c r="P42" s="476"/>
      <c r="Q42" s="476"/>
      <c r="R42" s="476"/>
    </row>
    <row r="43" spans="2:18" ht="12.75" customHeight="1">
      <c r="B43" s="473"/>
      <c r="C43" s="134" t="s">
        <v>265</v>
      </c>
      <c r="D43" s="476"/>
      <c r="E43" s="476"/>
      <c r="F43" s="476"/>
      <c r="G43" s="476"/>
      <c r="H43" s="476"/>
      <c r="I43" s="476"/>
      <c r="J43" s="476"/>
      <c r="K43" s="476"/>
      <c r="L43" s="476"/>
      <c r="M43" s="476"/>
      <c r="N43" s="476"/>
      <c r="O43" s="476"/>
      <c r="P43" s="476"/>
      <c r="Q43" s="476"/>
      <c r="R43" s="476"/>
    </row>
    <row r="44" spans="2:18" s="139" customFormat="1" ht="12.75">
      <c r="B44" s="473"/>
      <c r="C44" s="266" t="s">
        <v>266</v>
      </c>
      <c r="D44" s="34"/>
      <c r="E44" s="140" t="s">
        <v>408</v>
      </c>
      <c r="F44" s="117">
        <f>F52+F53</f>
        <v>200240</v>
      </c>
      <c r="G44" s="117">
        <f aca="true" t="shared" si="11" ref="G44:R44">G52+G53</f>
        <v>30036</v>
      </c>
      <c r="H44" s="117">
        <f t="shared" si="11"/>
        <v>170204</v>
      </c>
      <c r="I44" s="117">
        <f t="shared" si="11"/>
        <v>17020</v>
      </c>
      <c r="J44" s="117">
        <f t="shared" si="11"/>
        <v>0</v>
      </c>
      <c r="K44" s="117">
        <f t="shared" si="11"/>
        <v>0</v>
      </c>
      <c r="L44" s="117">
        <f t="shared" si="11"/>
        <v>0</v>
      </c>
      <c r="M44" s="117">
        <f t="shared" si="11"/>
        <v>0</v>
      </c>
      <c r="N44" s="117">
        <f t="shared" si="11"/>
        <v>17020</v>
      </c>
      <c r="O44" s="117">
        <f t="shared" si="11"/>
        <v>0</v>
      </c>
      <c r="P44" s="117">
        <f t="shared" si="11"/>
        <v>0</v>
      </c>
      <c r="Q44" s="117">
        <f t="shared" si="11"/>
        <v>0</v>
      </c>
      <c r="R44" s="247">
        <f t="shared" si="11"/>
        <v>20224</v>
      </c>
    </row>
    <row r="45" spans="2:18" s="139" customFormat="1" ht="12.75" hidden="1">
      <c r="B45" s="473"/>
      <c r="C45" s="243" t="s">
        <v>141</v>
      </c>
      <c r="D45" s="34"/>
      <c r="E45" s="140" t="s">
        <v>149</v>
      </c>
      <c r="F45" s="117"/>
      <c r="G45" s="117"/>
      <c r="H45" s="117"/>
      <c r="I45" s="117"/>
      <c r="J45" s="117"/>
      <c r="K45" s="117"/>
      <c r="L45" s="117"/>
      <c r="M45" s="117"/>
      <c r="N45" s="117"/>
      <c r="O45" s="117"/>
      <c r="P45" s="117"/>
      <c r="Q45" s="117"/>
      <c r="R45" s="117">
        <f>2!G518</f>
        <v>3204</v>
      </c>
    </row>
    <row r="46" spans="2:18" s="139" customFormat="1" ht="22.5" hidden="1">
      <c r="B46" s="473"/>
      <c r="C46" s="243" t="s">
        <v>142</v>
      </c>
      <c r="D46" s="34"/>
      <c r="E46" s="140" t="s">
        <v>150</v>
      </c>
      <c r="F46" s="117"/>
      <c r="G46" s="117"/>
      <c r="H46" s="117"/>
      <c r="I46" s="117"/>
      <c r="J46" s="117"/>
      <c r="K46" s="117"/>
      <c r="L46" s="117"/>
      <c r="M46" s="117"/>
      <c r="N46" s="117"/>
      <c r="O46" s="117"/>
      <c r="P46" s="117"/>
      <c r="Q46" s="117"/>
      <c r="R46" s="117"/>
    </row>
    <row r="47" spans="2:18" s="139" customFormat="1" ht="12.75" hidden="1">
      <c r="B47" s="473"/>
      <c r="C47" s="243" t="s">
        <v>143</v>
      </c>
      <c r="D47" s="34"/>
      <c r="E47" s="140" t="s">
        <v>151</v>
      </c>
      <c r="F47" s="117"/>
      <c r="G47" s="117"/>
      <c r="H47" s="117"/>
      <c r="I47" s="117"/>
      <c r="J47" s="117"/>
      <c r="K47" s="117"/>
      <c r="L47" s="117"/>
      <c r="M47" s="117"/>
      <c r="N47" s="117"/>
      <c r="O47" s="117"/>
      <c r="P47" s="117"/>
      <c r="Q47" s="117"/>
      <c r="R47" s="117"/>
    </row>
    <row r="48" spans="2:18" s="139" customFormat="1" ht="22.5" hidden="1">
      <c r="B48" s="473"/>
      <c r="C48" s="243" t="s">
        <v>144</v>
      </c>
      <c r="D48" s="34"/>
      <c r="E48" s="140" t="s">
        <v>152</v>
      </c>
      <c r="F48" s="117"/>
      <c r="G48" s="117"/>
      <c r="H48" s="117"/>
      <c r="I48" s="117"/>
      <c r="J48" s="117"/>
      <c r="K48" s="117"/>
      <c r="L48" s="117"/>
      <c r="M48" s="117"/>
      <c r="N48" s="117"/>
      <c r="O48" s="117"/>
      <c r="P48" s="117"/>
      <c r="Q48" s="117"/>
      <c r="R48" s="117"/>
    </row>
    <row r="49" spans="2:18" s="139" customFormat="1" ht="22.5" hidden="1">
      <c r="B49" s="473"/>
      <c r="C49" s="134" t="s">
        <v>652</v>
      </c>
      <c r="D49" s="34"/>
      <c r="E49" s="140" t="s">
        <v>651</v>
      </c>
      <c r="F49" s="117"/>
      <c r="G49" s="117"/>
      <c r="H49" s="117"/>
      <c r="I49" s="117"/>
      <c r="J49" s="117"/>
      <c r="K49" s="117"/>
      <c r="L49" s="117"/>
      <c r="M49" s="117"/>
      <c r="N49" s="117"/>
      <c r="O49" s="117"/>
      <c r="P49" s="117"/>
      <c r="Q49" s="117"/>
      <c r="R49" s="117"/>
    </row>
    <row r="50" spans="2:18" s="139" customFormat="1" ht="33.75" hidden="1">
      <c r="B50" s="473"/>
      <c r="C50" s="243" t="s">
        <v>145</v>
      </c>
      <c r="D50" s="34"/>
      <c r="E50" s="140" t="s">
        <v>153</v>
      </c>
      <c r="F50" s="117"/>
      <c r="G50" s="117"/>
      <c r="H50" s="117"/>
      <c r="I50" s="117"/>
      <c r="J50" s="117"/>
      <c r="K50" s="117"/>
      <c r="L50" s="117"/>
      <c r="M50" s="117"/>
      <c r="N50" s="117"/>
      <c r="O50" s="117"/>
      <c r="P50" s="117"/>
      <c r="Q50" s="117"/>
      <c r="R50" s="117">
        <f>2!L544</f>
        <v>0</v>
      </c>
    </row>
    <row r="51" spans="2:18" s="139" customFormat="1" ht="12.75" hidden="1">
      <c r="B51" s="473"/>
      <c r="C51" s="266"/>
      <c r="D51" s="34"/>
      <c r="E51" s="140"/>
      <c r="F51" s="117"/>
      <c r="G51" s="137"/>
      <c r="H51" s="137"/>
      <c r="I51" s="133"/>
      <c r="J51" s="34"/>
      <c r="K51" s="137"/>
      <c r="L51" s="137"/>
      <c r="M51" s="137"/>
      <c r="N51" s="34"/>
      <c r="O51" s="137"/>
      <c r="P51" s="137"/>
      <c r="Q51" s="137"/>
      <c r="R51" s="137"/>
    </row>
    <row r="52" spans="2:18" s="138" customFormat="1" ht="12.75">
      <c r="B52" s="473"/>
      <c r="C52" s="134" t="s">
        <v>108</v>
      </c>
      <c r="D52" s="136"/>
      <c r="E52" s="136"/>
      <c r="F52" s="135">
        <f aca="true" t="shared" si="12" ref="F52:F58">G52+H52</f>
        <v>180216</v>
      </c>
      <c r="G52" s="135">
        <v>27032</v>
      </c>
      <c r="H52" s="135">
        <v>153184</v>
      </c>
      <c r="I52" s="135">
        <f aca="true" t="shared" si="13" ref="I52:I58">J52+N52</f>
        <v>0</v>
      </c>
      <c r="J52" s="135">
        <f>K52+L52+M52</f>
        <v>0</v>
      </c>
      <c r="K52" s="135"/>
      <c r="L52" s="135"/>
      <c r="M52" s="135"/>
      <c r="N52" s="117"/>
      <c r="O52" s="135"/>
      <c r="P52" s="135"/>
      <c r="Q52" s="135"/>
      <c r="R52" s="135">
        <f>SUM(R45:R50)</f>
        <v>3204</v>
      </c>
    </row>
    <row r="53" spans="2:18" s="138" customFormat="1" ht="12.75">
      <c r="B53" s="473"/>
      <c r="C53" s="134" t="s">
        <v>232</v>
      </c>
      <c r="D53" s="136"/>
      <c r="E53" s="136"/>
      <c r="F53" s="135">
        <f t="shared" si="12"/>
        <v>20024</v>
      </c>
      <c r="G53" s="133">
        <v>3004</v>
      </c>
      <c r="H53" s="117">
        <f aca="true" t="shared" si="14" ref="H53:H58">N53</f>
        <v>17020</v>
      </c>
      <c r="I53" s="135">
        <f t="shared" si="13"/>
        <v>17020</v>
      </c>
      <c r="J53" s="135">
        <f>K53+L53+M53</f>
        <v>0</v>
      </c>
      <c r="K53" s="136"/>
      <c r="L53" s="136"/>
      <c r="M53" s="242"/>
      <c r="N53" s="117">
        <f aca="true" t="shared" si="15" ref="N53:N58">SUM(O53:R53)</f>
        <v>17020</v>
      </c>
      <c r="O53" s="136"/>
      <c r="P53" s="136"/>
      <c r="Q53" s="136"/>
      <c r="R53" s="242">
        <f>SUM(R54:R58)</f>
        <v>17020</v>
      </c>
    </row>
    <row r="54" spans="2:18" s="139" customFormat="1" ht="22.5">
      <c r="B54" s="473"/>
      <c r="C54" s="134" t="s">
        <v>17</v>
      </c>
      <c r="D54" s="34"/>
      <c r="E54" s="140">
        <v>4048</v>
      </c>
      <c r="F54" s="135">
        <f t="shared" si="12"/>
        <v>2916</v>
      </c>
      <c r="G54" s="117"/>
      <c r="H54" s="117">
        <f t="shared" si="14"/>
        <v>2916</v>
      </c>
      <c r="I54" s="135">
        <f t="shared" si="13"/>
        <v>2916</v>
      </c>
      <c r="J54" s="135">
        <f>K54+L54+M54</f>
        <v>0</v>
      </c>
      <c r="K54" s="117"/>
      <c r="L54" s="117"/>
      <c r="M54" s="117"/>
      <c r="N54" s="117">
        <f t="shared" si="15"/>
        <v>2916</v>
      </c>
      <c r="O54" s="117"/>
      <c r="P54" s="117"/>
      <c r="Q54" s="117"/>
      <c r="R54" s="117">
        <f>2!H520</f>
        <v>2916</v>
      </c>
    </row>
    <row r="55" spans="2:18" s="139" customFormat="1" ht="12.75">
      <c r="B55" s="473"/>
      <c r="C55" s="134" t="s">
        <v>70</v>
      </c>
      <c r="D55" s="34"/>
      <c r="E55" s="140"/>
      <c r="F55" s="135">
        <f t="shared" si="12"/>
        <v>3204</v>
      </c>
      <c r="G55" s="117"/>
      <c r="H55" s="117">
        <f t="shared" si="14"/>
        <v>3204</v>
      </c>
      <c r="I55" s="135"/>
      <c r="J55" s="135"/>
      <c r="K55" s="117"/>
      <c r="L55" s="117"/>
      <c r="M55" s="117"/>
      <c r="N55" s="117">
        <f t="shared" si="15"/>
        <v>3204</v>
      </c>
      <c r="O55" s="117"/>
      <c r="P55" s="117"/>
      <c r="Q55" s="117"/>
      <c r="R55" s="117">
        <v>3204</v>
      </c>
    </row>
    <row r="56" spans="2:18" s="139" customFormat="1" ht="22.5">
      <c r="B56" s="473"/>
      <c r="C56" s="243" t="s">
        <v>142</v>
      </c>
      <c r="D56" s="34"/>
      <c r="E56" s="140">
        <v>4118</v>
      </c>
      <c r="F56" s="135">
        <f t="shared" si="12"/>
        <v>925</v>
      </c>
      <c r="G56" s="117"/>
      <c r="H56" s="117">
        <f t="shared" si="14"/>
        <v>925</v>
      </c>
      <c r="I56" s="135">
        <f t="shared" si="13"/>
        <v>925</v>
      </c>
      <c r="J56" s="135">
        <f>K56+L56+M56</f>
        <v>0</v>
      </c>
      <c r="K56" s="117"/>
      <c r="L56" s="117"/>
      <c r="M56" s="117"/>
      <c r="N56" s="117">
        <f t="shared" si="15"/>
        <v>925</v>
      </c>
      <c r="O56" s="117"/>
      <c r="P56" s="117"/>
      <c r="Q56" s="117"/>
      <c r="R56" s="117">
        <f>2!I522</f>
        <v>925</v>
      </c>
    </row>
    <row r="57" spans="2:18" s="139" customFormat="1" ht="12.75">
      <c r="B57" s="473"/>
      <c r="C57" s="243" t="s">
        <v>143</v>
      </c>
      <c r="D57" s="34"/>
      <c r="E57" s="140">
        <v>4128</v>
      </c>
      <c r="F57" s="135">
        <f t="shared" si="12"/>
        <v>155</v>
      </c>
      <c r="G57" s="117"/>
      <c r="H57" s="117">
        <f t="shared" si="14"/>
        <v>155</v>
      </c>
      <c r="I57" s="135">
        <f t="shared" si="13"/>
        <v>155</v>
      </c>
      <c r="J57" s="117"/>
      <c r="K57" s="117"/>
      <c r="L57" s="117"/>
      <c r="M57" s="117"/>
      <c r="N57" s="117">
        <f t="shared" si="15"/>
        <v>155</v>
      </c>
      <c r="O57" s="117"/>
      <c r="P57" s="117"/>
      <c r="Q57" s="117"/>
      <c r="R57" s="117">
        <f>2!I524</f>
        <v>155</v>
      </c>
    </row>
    <row r="58" spans="2:18" s="139" customFormat="1" ht="12.75">
      <c r="B58" s="473"/>
      <c r="C58" s="134" t="s">
        <v>25</v>
      </c>
      <c r="D58" s="34"/>
      <c r="E58" s="140">
        <v>4308</v>
      </c>
      <c r="F58" s="135">
        <f t="shared" si="12"/>
        <v>9820</v>
      </c>
      <c r="G58" s="117"/>
      <c r="H58" s="117">
        <f t="shared" si="14"/>
        <v>9820</v>
      </c>
      <c r="I58" s="135">
        <f t="shared" si="13"/>
        <v>9820</v>
      </c>
      <c r="J58" s="135">
        <f>K58+L58+M58</f>
        <v>0</v>
      </c>
      <c r="K58" s="117"/>
      <c r="L58" s="117"/>
      <c r="M58" s="117"/>
      <c r="N58" s="117">
        <f t="shared" si="15"/>
        <v>9820</v>
      </c>
      <c r="O58" s="117"/>
      <c r="P58" s="117"/>
      <c r="Q58" s="117"/>
      <c r="R58" s="117">
        <f>2!L532</f>
        <v>9820</v>
      </c>
    </row>
    <row r="59" spans="2:18" s="138" customFormat="1" ht="21.75" customHeight="1">
      <c r="B59" s="474" t="s">
        <v>271</v>
      </c>
      <c r="C59" s="134" t="s">
        <v>262</v>
      </c>
      <c r="D59" s="476" t="s">
        <v>404</v>
      </c>
      <c r="E59" s="476"/>
      <c r="F59" s="476"/>
      <c r="G59" s="476"/>
      <c r="H59" s="476"/>
      <c r="I59" s="476"/>
      <c r="J59" s="476"/>
      <c r="K59" s="476"/>
      <c r="L59" s="476"/>
      <c r="M59" s="476"/>
      <c r="N59" s="476"/>
      <c r="O59" s="476"/>
      <c r="P59" s="476"/>
      <c r="Q59" s="476"/>
      <c r="R59" s="476"/>
    </row>
    <row r="60" spans="2:18" s="138" customFormat="1" ht="11.25" customHeight="1">
      <c r="B60" s="474"/>
      <c r="C60" s="134" t="s">
        <v>263</v>
      </c>
      <c r="D60" s="476"/>
      <c r="E60" s="476"/>
      <c r="F60" s="476"/>
      <c r="G60" s="476"/>
      <c r="H60" s="476"/>
      <c r="I60" s="476"/>
      <c r="J60" s="476"/>
      <c r="K60" s="476"/>
      <c r="L60" s="476"/>
      <c r="M60" s="476"/>
      <c r="N60" s="476"/>
      <c r="O60" s="476"/>
      <c r="P60" s="476"/>
      <c r="Q60" s="476"/>
      <c r="R60" s="476"/>
    </row>
    <row r="61" spans="2:18" s="138" customFormat="1" ht="11.25" customHeight="1">
      <c r="B61" s="474"/>
      <c r="C61" s="134" t="s">
        <v>264</v>
      </c>
      <c r="D61" s="476"/>
      <c r="E61" s="476"/>
      <c r="F61" s="476"/>
      <c r="G61" s="476"/>
      <c r="H61" s="476"/>
      <c r="I61" s="476"/>
      <c r="J61" s="476"/>
      <c r="K61" s="476"/>
      <c r="L61" s="476"/>
      <c r="M61" s="476"/>
      <c r="N61" s="476"/>
      <c r="O61" s="476"/>
      <c r="P61" s="476"/>
      <c r="Q61" s="476"/>
      <c r="R61" s="476"/>
    </row>
    <row r="62" spans="2:18" s="138" customFormat="1" ht="11.25" customHeight="1">
      <c r="B62" s="474"/>
      <c r="C62" s="134" t="s">
        <v>265</v>
      </c>
      <c r="D62" s="476"/>
      <c r="E62" s="476"/>
      <c r="F62" s="476"/>
      <c r="G62" s="476"/>
      <c r="H62" s="476"/>
      <c r="I62" s="476"/>
      <c r="J62" s="476"/>
      <c r="K62" s="476"/>
      <c r="L62" s="476"/>
      <c r="M62" s="476"/>
      <c r="N62" s="476"/>
      <c r="O62" s="476"/>
      <c r="P62" s="476"/>
      <c r="Q62" s="476"/>
      <c r="R62" s="476"/>
    </row>
    <row r="63" spans="2:18" s="138" customFormat="1" ht="12.75">
      <c r="B63" s="474"/>
      <c r="C63" s="266" t="s">
        <v>266</v>
      </c>
      <c r="D63" s="34"/>
      <c r="E63" s="140" t="s">
        <v>407</v>
      </c>
      <c r="F63" s="117">
        <f>F82+F83</f>
        <v>2000000</v>
      </c>
      <c r="G63" s="117">
        <f aca="true" t="shared" si="16" ref="G63:R63">G82+G83</f>
        <v>300000</v>
      </c>
      <c r="H63" s="117">
        <f t="shared" si="16"/>
        <v>1700000</v>
      </c>
      <c r="I63" s="117">
        <f t="shared" si="16"/>
        <v>985936</v>
      </c>
      <c r="J63" s="117">
        <f t="shared" si="16"/>
        <v>147891</v>
      </c>
      <c r="K63" s="117">
        <f t="shared" si="16"/>
        <v>0</v>
      </c>
      <c r="L63" s="117">
        <f t="shared" si="16"/>
        <v>0</v>
      </c>
      <c r="M63" s="117">
        <f t="shared" si="16"/>
        <v>147891</v>
      </c>
      <c r="N63" s="117">
        <f t="shared" si="16"/>
        <v>838045</v>
      </c>
      <c r="O63" s="117">
        <f t="shared" si="16"/>
        <v>0</v>
      </c>
      <c r="P63" s="117">
        <f t="shared" si="16"/>
        <v>0</v>
      </c>
      <c r="Q63" s="117">
        <f t="shared" si="16"/>
        <v>0</v>
      </c>
      <c r="R63" s="247">
        <f t="shared" si="16"/>
        <v>838045</v>
      </c>
    </row>
    <row r="64" spans="2:18" s="138" customFormat="1" ht="56.25">
      <c r="B64" s="474"/>
      <c r="C64" s="78" t="s">
        <v>659</v>
      </c>
      <c r="D64" s="34"/>
      <c r="E64" s="253">
        <v>2318</v>
      </c>
      <c r="F64" s="117">
        <f>G64+H64</f>
        <v>1493</v>
      </c>
      <c r="G64" s="117"/>
      <c r="H64" s="247">
        <f>N64</f>
        <v>1493</v>
      </c>
      <c r="I64" s="117">
        <f>J64+N64</f>
        <v>1493</v>
      </c>
      <c r="J64" s="117">
        <f>SUM(K64:M64)</f>
        <v>0</v>
      </c>
      <c r="K64" s="117"/>
      <c r="L64" s="117"/>
      <c r="M64" s="117"/>
      <c r="N64" s="117">
        <f>SUM(O64:R64)</f>
        <v>1493</v>
      </c>
      <c r="O64" s="117"/>
      <c r="P64" s="117"/>
      <c r="Q64" s="117"/>
      <c r="R64" s="247">
        <v>1493</v>
      </c>
    </row>
    <row r="65" spans="2:18" s="138" customFormat="1" ht="56.25">
      <c r="B65" s="474"/>
      <c r="C65" s="78" t="s">
        <v>660</v>
      </c>
      <c r="D65" s="34"/>
      <c r="E65" s="253">
        <v>2319</v>
      </c>
      <c r="F65" s="117">
        <f aca="true" t="shared" si="17" ref="F65:F81">G65+H65</f>
        <v>264</v>
      </c>
      <c r="G65" s="117">
        <f>I65</f>
        <v>264</v>
      </c>
      <c r="H65" s="247">
        <f>R65</f>
        <v>0</v>
      </c>
      <c r="I65" s="117">
        <f aca="true" t="shared" si="18" ref="I65:I81">J65+N65</f>
        <v>264</v>
      </c>
      <c r="J65" s="117">
        <f aca="true" t="shared" si="19" ref="J65:J81">SUM(K65:M65)</f>
        <v>264</v>
      </c>
      <c r="K65" s="117"/>
      <c r="L65" s="117"/>
      <c r="M65" s="117">
        <v>264</v>
      </c>
      <c r="N65" s="117">
        <f aca="true" t="shared" si="20" ref="N65:N81">SUM(O65:R65)</f>
        <v>0</v>
      </c>
      <c r="O65" s="117"/>
      <c r="P65" s="117"/>
      <c r="Q65" s="117"/>
      <c r="R65" s="247"/>
    </row>
    <row r="66" spans="2:18" s="138" customFormat="1" ht="56.25">
      <c r="B66" s="474"/>
      <c r="C66" s="78" t="s">
        <v>401</v>
      </c>
      <c r="D66" s="34"/>
      <c r="E66" s="253">
        <v>2328</v>
      </c>
      <c r="F66" s="117">
        <f>G66+H66</f>
        <v>732979</v>
      </c>
      <c r="G66" s="117"/>
      <c r="H66" s="247">
        <f>R66</f>
        <v>732979</v>
      </c>
      <c r="I66" s="117">
        <f t="shared" si="18"/>
        <v>732979</v>
      </c>
      <c r="J66" s="117">
        <f t="shared" si="19"/>
        <v>0</v>
      </c>
      <c r="K66" s="117"/>
      <c r="L66" s="117"/>
      <c r="M66" s="117"/>
      <c r="N66" s="117">
        <f t="shared" si="20"/>
        <v>732979</v>
      </c>
      <c r="O66" s="117"/>
      <c r="P66" s="117"/>
      <c r="Q66" s="117"/>
      <c r="R66" s="247">
        <v>732979</v>
      </c>
    </row>
    <row r="67" spans="2:18" s="138" customFormat="1" ht="56.25">
      <c r="B67" s="474"/>
      <c r="C67" s="78" t="s">
        <v>401</v>
      </c>
      <c r="D67" s="34"/>
      <c r="E67" s="253">
        <v>2329</v>
      </c>
      <c r="F67" s="117">
        <f>G67+H67</f>
        <v>129349</v>
      </c>
      <c r="G67" s="117">
        <f>M67</f>
        <v>129349</v>
      </c>
      <c r="H67" s="247"/>
      <c r="I67" s="117">
        <f t="shared" si="18"/>
        <v>129349</v>
      </c>
      <c r="J67" s="117">
        <f t="shared" si="19"/>
        <v>129349</v>
      </c>
      <c r="K67" s="117"/>
      <c r="L67" s="117"/>
      <c r="M67" s="117">
        <v>129349</v>
      </c>
      <c r="N67" s="117">
        <f t="shared" si="20"/>
        <v>0</v>
      </c>
      <c r="O67" s="117"/>
      <c r="P67" s="117"/>
      <c r="Q67" s="117"/>
      <c r="R67" s="247"/>
    </row>
    <row r="68" spans="2:18" s="138" customFormat="1" ht="22.5">
      <c r="B68" s="474"/>
      <c r="C68" s="78" t="s">
        <v>453</v>
      </c>
      <c r="D68" s="34"/>
      <c r="E68" s="252">
        <v>4118</v>
      </c>
      <c r="F68" s="117">
        <f t="shared" si="17"/>
        <v>9526</v>
      </c>
      <c r="G68" s="117"/>
      <c r="H68" s="247">
        <f>R68</f>
        <v>9526</v>
      </c>
      <c r="I68" s="117">
        <f t="shared" si="18"/>
        <v>9526</v>
      </c>
      <c r="J68" s="117">
        <f t="shared" si="19"/>
        <v>0</v>
      </c>
      <c r="K68" s="117"/>
      <c r="L68" s="117"/>
      <c r="M68" s="117"/>
      <c r="N68" s="117">
        <f t="shared" si="20"/>
        <v>9526</v>
      </c>
      <c r="O68" s="117"/>
      <c r="P68" s="117"/>
      <c r="Q68" s="117"/>
      <c r="R68" s="247">
        <v>9526</v>
      </c>
    </row>
    <row r="69" spans="2:18" s="138" customFormat="1" ht="22.5">
      <c r="B69" s="474"/>
      <c r="C69" s="78" t="s">
        <v>453</v>
      </c>
      <c r="D69" s="34"/>
      <c r="E69" s="252">
        <v>4119</v>
      </c>
      <c r="F69" s="117">
        <f t="shared" si="17"/>
        <v>1681</v>
      </c>
      <c r="G69" s="117">
        <f>M69</f>
        <v>1681</v>
      </c>
      <c r="H69" s="247"/>
      <c r="I69" s="117">
        <f t="shared" si="18"/>
        <v>1681</v>
      </c>
      <c r="J69" s="117">
        <f t="shared" si="19"/>
        <v>1681</v>
      </c>
      <c r="K69" s="117"/>
      <c r="L69" s="117"/>
      <c r="M69" s="117">
        <v>1681</v>
      </c>
      <c r="N69" s="117">
        <f t="shared" si="20"/>
        <v>0</v>
      </c>
      <c r="O69" s="117"/>
      <c r="P69" s="117"/>
      <c r="Q69" s="117"/>
      <c r="R69" s="247"/>
    </row>
    <row r="70" spans="2:18" s="138" customFormat="1" ht="12.75">
      <c r="B70" s="474"/>
      <c r="C70" s="78" t="s">
        <v>455</v>
      </c>
      <c r="D70" s="34"/>
      <c r="E70" s="252">
        <v>4128</v>
      </c>
      <c r="F70" s="117">
        <f t="shared" si="17"/>
        <v>1536</v>
      </c>
      <c r="G70" s="117"/>
      <c r="H70" s="247">
        <f>R70</f>
        <v>1536</v>
      </c>
      <c r="I70" s="117">
        <f t="shared" si="18"/>
        <v>1536</v>
      </c>
      <c r="J70" s="117">
        <f t="shared" si="19"/>
        <v>0</v>
      </c>
      <c r="K70" s="117"/>
      <c r="L70" s="117"/>
      <c r="M70" s="117"/>
      <c r="N70" s="117">
        <f t="shared" si="20"/>
        <v>1536</v>
      </c>
      <c r="O70" s="117"/>
      <c r="P70" s="117"/>
      <c r="Q70" s="117"/>
      <c r="R70" s="247">
        <v>1536</v>
      </c>
    </row>
    <row r="71" spans="2:18" s="138" customFormat="1" ht="12.75">
      <c r="B71" s="474"/>
      <c r="C71" s="78" t="s">
        <v>455</v>
      </c>
      <c r="D71" s="34"/>
      <c r="E71" s="252">
        <v>4129</v>
      </c>
      <c r="F71" s="117">
        <f t="shared" si="17"/>
        <v>271</v>
      </c>
      <c r="G71" s="117">
        <f>M71</f>
        <v>271</v>
      </c>
      <c r="H71" s="247"/>
      <c r="I71" s="117">
        <f t="shared" si="18"/>
        <v>271</v>
      </c>
      <c r="J71" s="117">
        <f t="shared" si="19"/>
        <v>271</v>
      </c>
      <c r="K71" s="117"/>
      <c r="L71" s="117"/>
      <c r="M71" s="117">
        <v>271</v>
      </c>
      <c r="N71" s="117">
        <f t="shared" si="20"/>
        <v>0</v>
      </c>
      <c r="O71" s="117"/>
      <c r="P71" s="117"/>
      <c r="Q71" s="117"/>
      <c r="R71" s="247"/>
    </row>
    <row r="72" spans="2:18" s="138" customFormat="1" ht="22.5">
      <c r="B72" s="474"/>
      <c r="C72" s="78" t="s">
        <v>413</v>
      </c>
      <c r="D72" s="34"/>
      <c r="E72" s="252">
        <v>4178</v>
      </c>
      <c r="F72" s="117">
        <f t="shared" si="17"/>
        <v>62714</v>
      </c>
      <c r="G72" s="117"/>
      <c r="H72" s="247">
        <f>N72</f>
        <v>62714</v>
      </c>
      <c r="I72" s="117">
        <f t="shared" si="18"/>
        <v>62714</v>
      </c>
      <c r="J72" s="117">
        <f t="shared" si="19"/>
        <v>0</v>
      </c>
      <c r="K72" s="117"/>
      <c r="L72" s="117"/>
      <c r="M72" s="117"/>
      <c r="N72" s="117">
        <f t="shared" si="20"/>
        <v>62714</v>
      </c>
      <c r="O72" s="117"/>
      <c r="P72" s="117"/>
      <c r="Q72" s="117"/>
      <c r="R72" s="247">
        <v>62714</v>
      </c>
    </row>
    <row r="73" spans="2:18" s="138" customFormat="1" ht="22.5">
      <c r="B73" s="474"/>
      <c r="C73" s="78" t="s">
        <v>413</v>
      </c>
      <c r="D73" s="34"/>
      <c r="E73" s="252">
        <v>4179</v>
      </c>
      <c r="F73" s="117">
        <f t="shared" si="17"/>
        <v>11067</v>
      </c>
      <c r="G73" s="117">
        <f>J73</f>
        <v>11067</v>
      </c>
      <c r="H73" s="247"/>
      <c r="I73" s="117">
        <f t="shared" si="18"/>
        <v>11067</v>
      </c>
      <c r="J73" s="117">
        <f t="shared" si="19"/>
        <v>11067</v>
      </c>
      <c r="K73" s="117"/>
      <c r="L73" s="117"/>
      <c r="M73" s="117">
        <v>11067</v>
      </c>
      <c r="N73" s="117">
        <f t="shared" si="20"/>
        <v>0</v>
      </c>
      <c r="O73" s="117"/>
      <c r="P73" s="117"/>
      <c r="Q73" s="117"/>
      <c r="R73" s="247"/>
    </row>
    <row r="74" spans="2:18" s="138" customFormat="1" ht="22.5">
      <c r="B74" s="474"/>
      <c r="C74" s="78" t="s">
        <v>379</v>
      </c>
      <c r="D74" s="34"/>
      <c r="E74" s="252">
        <v>4218</v>
      </c>
      <c r="F74" s="117">
        <f t="shared" si="17"/>
        <v>2729</v>
      </c>
      <c r="G74" s="117"/>
      <c r="H74" s="247">
        <f>N74</f>
        <v>2729</v>
      </c>
      <c r="I74" s="117">
        <f t="shared" si="18"/>
        <v>2729</v>
      </c>
      <c r="J74" s="117">
        <f t="shared" si="19"/>
        <v>0</v>
      </c>
      <c r="K74" s="117"/>
      <c r="L74" s="117"/>
      <c r="M74" s="117"/>
      <c r="N74" s="117">
        <f t="shared" si="20"/>
        <v>2729</v>
      </c>
      <c r="O74" s="117"/>
      <c r="P74" s="117"/>
      <c r="Q74" s="117"/>
      <c r="R74" s="247">
        <v>2729</v>
      </c>
    </row>
    <row r="75" spans="2:18" s="138" customFormat="1" ht="22.5">
      <c r="B75" s="474"/>
      <c r="C75" s="78" t="s">
        <v>379</v>
      </c>
      <c r="D75" s="34"/>
      <c r="E75" s="252">
        <v>4219</v>
      </c>
      <c r="F75" s="117">
        <f t="shared" si="17"/>
        <v>482</v>
      </c>
      <c r="G75" s="117">
        <f>I75</f>
        <v>482</v>
      </c>
      <c r="H75" s="247"/>
      <c r="I75" s="117">
        <f t="shared" si="18"/>
        <v>482</v>
      </c>
      <c r="J75" s="117">
        <f t="shared" si="19"/>
        <v>482</v>
      </c>
      <c r="K75" s="117"/>
      <c r="L75" s="117"/>
      <c r="M75" s="117">
        <v>482</v>
      </c>
      <c r="N75" s="117">
        <f t="shared" si="20"/>
        <v>0</v>
      </c>
      <c r="O75" s="117"/>
      <c r="P75" s="117"/>
      <c r="Q75" s="117"/>
      <c r="R75" s="247"/>
    </row>
    <row r="76" spans="2:18" s="138" customFormat="1" ht="12.75">
      <c r="B76" s="474"/>
      <c r="C76" s="78" t="s">
        <v>362</v>
      </c>
      <c r="D76" s="34"/>
      <c r="E76" s="252">
        <v>4308</v>
      </c>
      <c r="F76" s="117">
        <f t="shared" si="17"/>
        <v>23668</v>
      </c>
      <c r="G76" s="117"/>
      <c r="H76" s="247">
        <f>N76</f>
        <v>23668</v>
      </c>
      <c r="I76" s="117">
        <f t="shared" si="18"/>
        <v>23668</v>
      </c>
      <c r="J76" s="117">
        <f t="shared" si="19"/>
        <v>0</v>
      </c>
      <c r="K76" s="117"/>
      <c r="L76" s="117"/>
      <c r="M76" s="117"/>
      <c r="N76" s="117">
        <f t="shared" si="20"/>
        <v>23668</v>
      </c>
      <c r="O76" s="117"/>
      <c r="P76" s="117"/>
      <c r="Q76" s="117"/>
      <c r="R76" s="247">
        <v>23668</v>
      </c>
    </row>
    <row r="77" spans="2:18" s="138" customFormat="1" ht="12.75">
      <c r="B77" s="474"/>
      <c r="C77" s="78" t="s">
        <v>362</v>
      </c>
      <c r="D77" s="34"/>
      <c r="E77" s="252">
        <v>4309</v>
      </c>
      <c r="F77" s="117">
        <f t="shared" si="17"/>
        <v>4177</v>
      </c>
      <c r="G77" s="117">
        <f>I77</f>
        <v>4177</v>
      </c>
      <c r="H77" s="247"/>
      <c r="I77" s="117">
        <f t="shared" si="18"/>
        <v>4177</v>
      </c>
      <c r="J77" s="117">
        <f t="shared" si="19"/>
        <v>4177</v>
      </c>
      <c r="K77" s="117"/>
      <c r="L77" s="117"/>
      <c r="M77" s="117">
        <v>4177</v>
      </c>
      <c r="N77" s="117">
        <f t="shared" si="20"/>
        <v>0</v>
      </c>
      <c r="O77" s="117"/>
      <c r="P77" s="117"/>
      <c r="Q77" s="117"/>
      <c r="R77" s="247"/>
    </row>
    <row r="78" spans="2:18" s="138" customFormat="1" ht="45">
      <c r="B78" s="474"/>
      <c r="C78" s="78" t="s">
        <v>416</v>
      </c>
      <c r="D78" s="34"/>
      <c r="E78" s="252">
        <v>4748</v>
      </c>
      <c r="F78" s="117">
        <f t="shared" si="17"/>
        <v>1275</v>
      </c>
      <c r="G78" s="117"/>
      <c r="H78" s="247">
        <f>N78</f>
        <v>1275</v>
      </c>
      <c r="I78" s="117">
        <f t="shared" si="18"/>
        <v>1275</v>
      </c>
      <c r="J78" s="117">
        <f t="shared" si="19"/>
        <v>0</v>
      </c>
      <c r="K78" s="117"/>
      <c r="L78" s="117"/>
      <c r="M78" s="117"/>
      <c r="N78" s="117">
        <f t="shared" si="20"/>
        <v>1275</v>
      </c>
      <c r="O78" s="117"/>
      <c r="P78" s="117"/>
      <c r="Q78" s="117"/>
      <c r="R78" s="247">
        <v>1275</v>
      </c>
    </row>
    <row r="79" spans="2:18" s="138" customFormat="1" ht="45">
      <c r="B79" s="474"/>
      <c r="C79" s="78" t="s">
        <v>416</v>
      </c>
      <c r="D79" s="34"/>
      <c r="E79" s="252">
        <v>4749</v>
      </c>
      <c r="F79" s="117">
        <f t="shared" si="17"/>
        <v>225</v>
      </c>
      <c r="G79" s="117">
        <f>I79</f>
        <v>225</v>
      </c>
      <c r="H79" s="247"/>
      <c r="I79" s="117">
        <f t="shared" si="18"/>
        <v>225</v>
      </c>
      <c r="J79" s="117">
        <f t="shared" si="19"/>
        <v>225</v>
      </c>
      <c r="K79" s="117"/>
      <c r="L79" s="117"/>
      <c r="M79" s="117">
        <v>225</v>
      </c>
      <c r="N79" s="117">
        <f t="shared" si="20"/>
        <v>0</v>
      </c>
      <c r="O79" s="117"/>
      <c r="P79" s="117"/>
      <c r="Q79" s="117"/>
      <c r="R79" s="247"/>
    </row>
    <row r="80" spans="2:18" s="138" customFormat="1" ht="33.75">
      <c r="B80" s="474"/>
      <c r="C80" s="78" t="s">
        <v>458</v>
      </c>
      <c r="D80" s="34"/>
      <c r="E80" s="252">
        <v>4758</v>
      </c>
      <c r="F80" s="117">
        <f t="shared" si="17"/>
        <v>2125</v>
      </c>
      <c r="G80" s="117"/>
      <c r="H80" s="247">
        <f>N80</f>
        <v>2125</v>
      </c>
      <c r="I80" s="117">
        <f t="shared" si="18"/>
        <v>2125</v>
      </c>
      <c r="J80" s="117">
        <f t="shared" si="19"/>
        <v>0</v>
      </c>
      <c r="K80" s="117"/>
      <c r="L80" s="117"/>
      <c r="M80" s="117"/>
      <c r="N80" s="117">
        <f t="shared" si="20"/>
        <v>2125</v>
      </c>
      <c r="O80" s="117"/>
      <c r="P80" s="117"/>
      <c r="Q80" s="117"/>
      <c r="R80" s="247">
        <v>2125</v>
      </c>
    </row>
    <row r="81" spans="2:18" s="138" customFormat="1" ht="33.75">
      <c r="B81" s="474"/>
      <c r="C81" s="78" t="s">
        <v>458</v>
      </c>
      <c r="D81" s="34"/>
      <c r="E81" s="252">
        <v>4759</v>
      </c>
      <c r="F81" s="117">
        <f t="shared" si="17"/>
        <v>375</v>
      </c>
      <c r="G81" s="117">
        <f>I81</f>
        <v>375</v>
      </c>
      <c r="H81" s="247"/>
      <c r="I81" s="117">
        <f t="shared" si="18"/>
        <v>375</v>
      </c>
      <c r="J81" s="117">
        <f t="shared" si="19"/>
        <v>375</v>
      </c>
      <c r="K81" s="117"/>
      <c r="L81" s="117"/>
      <c r="M81" s="117">
        <v>375</v>
      </c>
      <c r="N81" s="117">
        <f t="shared" si="20"/>
        <v>0</v>
      </c>
      <c r="O81" s="117"/>
      <c r="P81" s="117"/>
      <c r="Q81" s="117"/>
      <c r="R81" s="247"/>
    </row>
    <row r="82" spans="2:20" s="138" customFormat="1" ht="11.25">
      <c r="B82" s="474"/>
      <c r="C82" s="134" t="s">
        <v>19</v>
      </c>
      <c r="D82" s="136"/>
      <c r="E82" s="136"/>
      <c r="F82" s="135">
        <f>G82+H82</f>
        <v>985936</v>
      </c>
      <c r="G82" s="135">
        <f>SUM(G64:G81)</f>
        <v>147891</v>
      </c>
      <c r="H82" s="135">
        <f>SUM(H64:H81)</f>
        <v>838045</v>
      </c>
      <c r="I82" s="135">
        <f>J82+N82</f>
        <v>985936</v>
      </c>
      <c r="J82" s="135">
        <f>SUM(K82:M82)</f>
        <v>147891</v>
      </c>
      <c r="K82" s="135">
        <f>SUM(K64:K81)</f>
        <v>0</v>
      </c>
      <c r="L82" s="135">
        <f>SUM(L64:L81)</f>
        <v>0</v>
      </c>
      <c r="M82" s="135">
        <f>SUM(M64:M81)</f>
        <v>147891</v>
      </c>
      <c r="N82" s="135">
        <f>O82+P82+Q82+R82</f>
        <v>838045</v>
      </c>
      <c r="O82" s="135">
        <f>SUM(O64:O81)</f>
        <v>0</v>
      </c>
      <c r="P82" s="135">
        <f>SUM(P64:P81)</f>
        <v>0</v>
      </c>
      <c r="Q82" s="135">
        <f>SUM(Q64:Q81)</f>
        <v>0</v>
      </c>
      <c r="R82" s="135">
        <f>SUM(R64:R81)</f>
        <v>838045</v>
      </c>
      <c r="T82" s="367"/>
    </row>
    <row r="83" spans="2:18" s="138" customFormat="1" ht="11.25">
      <c r="B83" s="474"/>
      <c r="C83" s="134" t="s">
        <v>18</v>
      </c>
      <c r="D83" s="136"/>
      <c r="E83" s="136"/>
      <c r="F83" s="135">
        <f>G83+H83</f>
        <v>1014064</v>
      </c>
      <c r="G83" s="135">
        <f>150834+1275</f>
        <v>152109</v>
      </c>
      <c r="H83" s="133">
        <f>854730+7225</f>
        <v>861955</v>
      </c>
      <c r="I83" s="135"/>
      <c r="J83" s="135"/>
      <c r="K83" s="136"/>
      <c r="L83" s="136"/>
      <c r="M83" s="242"/>
      <c r="N83" s="135"/>
      <c r="O83" s="136"/>
      <c r="P83" s="136"/>
      <c r="Q83" s="136"/>
      <c r="R83" s="136"/>
    </row>
    <row r="84" spans="2:18" s="138" customFormat="1" ht="11.25">
      <c r="B84" s="474"/>
      <c r="C84" s="134"/>
      <c r="D84" s="136"/>
      <c r="E84" s="136"/>
      <c r="F84" s="135"/>
      <c r="G84" s="135"/>
      <c r="H84" s="133"/>
      <c r="I84" s="135"/>
      <c r="J84" s="135"/>
      <c r="K84" s="136"/>
      <c r="L84" s="136"/>
      <c r="M84" s="242"/>
      <c r="N84" s="135"/>
      <c r="O84" s="136"/>
      <c r="P84" s="136"/>
      <c r="Q84" s="136"/>
      <c r="R84" s="136"/>
    </row>
    <row r="85" spans="2:18" s="138" customFormat="1" ht="11.25" customHeight="1">
      <c r="B85" s="474" t="s">
        <v>326</v>
      </c>
      <c r="C85" s="134" t="s">
        <v>262</v>
      </c>
      <c r="D85" s="476" t="s">
        <v>646</v>
      </c>
      <c r="E85" s="476"/>
      <c r="F85" s="476"/>
      <c r="G85" s="476"/>
      <c r="H85" s="476"/>
      <c r="I85" s="476"/>
      <c r="J85" s="476"/>
      <c r="K85" s="476"/>
      <c r="L85" s="476"/>
      <c r="M85" s="476"/>
      <c r="N85" s="476"/>
      <c r="O85" s="476"/>
      <c r="P85" s="476"/>
      <c r="Q85" s="476"/>
      <c r="R85" s="476"/>
    </row>
    <row r="86" spans="2:18" s="138" customFormat="1" ht="11.25" customHeight="1">
      <c r="B86" s="474"/>
      <c r="C86" s="134" t="s">
        <v>263</v>
      </c>
      <c r="D86" s="476"/>
      <c r="E86" s="476"/>
      <c r="F86" s="476"/>
      <c r="G86" s="476"/>
      <c r="H86" s="476"/>
      <c r="I86" s="476"/>
      <c r="J86" s="476"/>
      <c r="K86" s="476"/>
      <c r="L86" s="476"/>
      <c r="M86" s="476"/>
      <c r="N86" s="476"/>
      <c r="O86" s="476"/>
      <c r="P86" s="476"/>
      <c r="Q86" s="476"/>
      <c r="R86" s="476"/>
    </row>
    <row r="87" spans="2:18" s="138" customFormat="1" ht="11.25" customHeight="1">
      <c r="B87" s="474"/>
      <c r="C87" s="134" t="s">
        <v>264</v>
      </c>
      <c r="D87" s="476"/>
      <c r="E87" s="476"/>
      <c r="F87" s="476"/>
      <c r="G87" s="476"/>
      <c r="H87" s="476"/>
      <c r="I87" s="476"/>
      <c r="J87" s="476"/>
      <c r="K87" s="476"/>
      <c r="L87" s="476"/>
      <c r="M87" s="476"/>
      <c r="N87" s="476"/>
      <c r="O87" s="476"/>
      <c r="P87" s="476"/>
      <c r="Q87" s="476"/>
      <c r="R87" s="476"/>
    </row>
    <row r="88" spans="2:18" s="138" customFormat="1" ht="11.25" customHeight="1">
      <c r="B88" s="474"/>
      <c r="C88" s="134" t="s">
        <v>265</v>
      </c>
      <c r="D88" s="476"/>
      <c r="E88" s="476"/>
      <c r="F88" s="476"/>
      <c r="G88" s="476"/>
      <c r="H88" s="476"/>
      <c r="I88" s="476"/>
      <c r="J88" s="476"/>
      <c r="K88" s="476"/>
      <c r="L88" s="476"/>
      <c r="M88" s="476"/>
      <c r="N88" s="476"/>
      <c r="O88" s="476"/>
      <c r="P88" s="476"/>
      <c r="Q88" s="476"/>
      <c r="R88" s="476"/>
    </row>
    <row r="89" spans="2:18" s="138" customFormat="1" ht="12.75">
      <c r="B89" s="474"/>
      <c r="C89" s="266" t="s">
        <v>266</v>
      </c>
      <c r="D89" s="34"/>
      <c r="E89" s="140" t="s">
        <v>45</v>
      </c>
      <c r="F89" s="117">
        <f>F102+F103+F104</f>
        <v>307445</v>
      </c>
      <c r="G89" s="117">
        <f aca="true" t="shared" si="21" ref="G89:R89">G102+G103+G104</f>
        <v>46117</v>
      </c>
      <c r="H89" s="117">
        <f t="shared" si="21"/>
        <v>261328</v>
      </c>
      <c r="I89" s="117">
        <f t="shared" si="21"/>
        <v>148446</v>
      </c>
      <c r="J89" s="117">
        <f>J102+J103+J104</f>
        <v>22267</v>
      </c>
      <c r="K89" s="117">
        <f t="shared" si="21"/>
        <v>0</v>
      </c>
      <c r="L89" s="117">
        <f t="shared" si="21"/>
        <v>0</v>
      </c>
      <c r="M89" s="117">
        <f t="shared" si="21"/>
        <v>22267</v>
      </c>
      <c r="N89" s="117">
        <f t="shared" si="21"/>
        <v>126179</v>
      </c>
      <c r="O89" s="117">
        <f t="shared" si="21"/>
        <v>0</v>
      </c>
      <c r="P89" s="117">
        <f t="shared" si="21"/>
        <v>0</v>
      </c>
      <c r="Q89" s="117">
        <f t="shared" si="21"/>
        <v>0</v>
      </c>
      <c r="R89" s="117">
        <f t="shared" si="21"/>
        <v>126179</v>
      </c>
    </row>
    <row r="90" spans="2:18" s="138" customFormat="1" ht="22.5">
      <c r="B90" s="474"/>
      <c r="C90" s="78" t="s">
        <v>453</v>
      </c>
      <c r="D90" s="34"/>
      <c r="E90" s="252">
        <v>4118</v>
      </c>
      <c r="F90" s="117">
        <f aca="true" t="shared" si="22" ref="F90:F101">G90+H90</f>
        <v>12207</v>
      </c>
      <c r="G90" s="117">
        <f>J90</f>
        <v>0</v>
      </c>
      <c r="H90" s="247">
        <f>N90</f>
        <v>12207</v>
      </c>
      <c r="I90" s="117">
        <f>J90+N90</f>
        <v>12207</v>
      </c>
      <c r="J90" s="117">
        <f>SUM(K90:M90)</f>
        <v>0</v>
      </c>
      <c r="K90" s="117"/>
      <c r="L90" s="117"/>
      <c r="M90" s="117"/>
      <c r="N90" s="117">
        <f>SUM(O90:R90)</f>
        <v>12207</v>
      </c>
      <c r="O90" s="117"/>
      <c r="P90" s="117"/>
      <c r="Q90" s="117"/>
      <c r="R90" s="247">
        <f>'[1]budżet 2009'!$N$569</f>
        <v>12207</v>
      </c>
    </row>
    <row r="91" spans="2:18" s="138" customFormat="1" ht="22.5">
      <c r="B91" s="474"/>
      <c r="C91" s="78" t="s">
        <v>453</v>
      </c>
      <c r="D91" s="34"/>
      <c r="E91" s="252">
        <v>4119</v>
      </c>
      <c r="F91" s="117">
        <f t="shared" si="22"/>
        <v>2154</v>
      </c>
      <c r="G91" s="117">
        <f aca="true" t="shared" si="23" ref="G91:G101">J91</f>
        <v>2154</v>
      </c>
      <c r="H91" s="247"/>
      <c r="I91" s="117">
        <f aca="true" t="shared" si="24" ref="I91:I101">J91+N91</f>
        <v>2154</v>
      </c>
      <c r="J91" s="117">
        <f aca="true" t="shared" si="25" ref="J91:J101">SUM(K91:M91)</f>
        <v>2154</v>
      </c>
      <c r="K91" s="117"/>
      <c r="L91" s="117"/>
      <c r="M91" s="117">
        <f>'[1]budżet 2009'!$N$570</f>
        <v>2154</v>
      </c>
      <c r="N91" s="117">
        <f aca="true" t="shared" si="26" ref="N91:N101">SUM(O91:R91)</f>
        <v>0</v>
      </c>
      <c r="O91" s="117"/>
      <c r="P91" s="117"/>
      <c r="Q91" s="117"/>
      <c r="R91" s="247"/>
    </row>
    <row r="92" spans="2:18" s="138" customFormat="1" ht="12.75">
      <c r="B92" s="474"/>
      <c r="C92" s="78" t="s">
        <v>455</v>
      </c>
      <c r="D92" s="34"/>
      <c r="E92" s="252">
        <v>4128</v>
      </c>
      <c r="F92" s="117">
        <f t="shared" si="22"/>
        <v>1950</v>
      </c>
      <c r="G92" s="117">
        <f t="shared" si="23"/>
        <v>0</v>
      </c>
      <c r="H92" s="247">
        <f>N92</f>
        <v>1950</v>
      </c>
      <c r="I92" s="117">
        <f t="shared" si="24"/>
        <v>1950</v>
      </c>
      <c r="J92" s="117">
        <f t="shared" si="25"/>
        <v>0</v>
      </c>
      <c r="K92" s="117"/>
      <c r="L92" s="117"/>
      <c r="M92" s="117"/>
      <c r="N92" s="117">
        <f t="shared" si="26"/>
        <v>1950</v>
      </c>
      <c r="O92" s="117"/>
      <c r="P92" s="117"/>
      <c r="Q92" s="117"/>
      <c r="R92" s="247">
        <f>'[1]budżet 2009'!$N$571</f>
        <v>1950</v>
      </c>
    </row>
    <row r="93" spans="2:18" s="138" customFormat="1" ht="12.75">
      <c r="B93" s="474"/>
      <c r="C93" s="78" t="s">
        <v>455</v>
      </c>
      <c r="D93" s="34"/>
      <c r="E93" s="252">
        <v>4129</v>
      </c>
      <c r="F93" s="117">
        <f t="shared" si="22"/>
        <v>344</v>
      </c>
      <c r="G93" s="117">
        <f t="shared" si="23"/>
        <v>344</v>
      </c>
      <c r="H93" s="247"/>
      <c r="I93" s="117">
        <f t="shared" si="24"/>
        <v>344</v>
      </c>
      <c r="J93" s="117">
        <f t="shared" si="25"/>
        <v>344</v>
      </c>
      <c r="K93" s="117"/>
      <c r="L93" s="117"/>
      <c r="M93" s="117">
        <f>'[1]budżet 2009'!$N$572</f>
        <v>344</v>
      </c>
      <c r="N93" s="117">
        <f t="shared" si="26"/>
        <v>0</v>
      </c>
      <c r="O93" s="117"/>
      <c r="P93" s="117"/>
      <c r="Q93" s="117"/>
      <c r="R93" s="247"/>
    </row>
    <row r="94" spans="2:18" s="138" customFormat="1" ht="22.5">
      <c r="B94" s="474"/>
      <c r="C94" s="78" t="s">
        <v>649</v>
      </c>
      <c r="D94" s="34"/>
      <c r="E94" s="252">
        <v>4178</v>
      </c>
      <c r="F94" s="117">
        <f t="shared" si="22"/>
        <v>79575</v>
      </c>
      <c r="G94" s="117">
        <f t="shared" si="23"/>
        <v>0</v>
      </c>
      <c r="H94" s="247">
        <f>N94</f>
        <v>79575</v>
      </c>
      <c r="I94" s="117">
        <f t="shared" si="24"/>
        <v>79575</v>
      </c>
      <c r="J94" s="117">
        <f t="shared" si="25"/>
        <v>0</v>
      </c>
      <c r="K94" s="117"/>
      <c r="L94" s="117"/>
      <c r="M94" s="117"/>
      <c r="N94" s="117">
        <f t="shared" si="26"/>
        <v>79575</v>
      </c>
      <c r="O94" s="117"/>
      <c r="P94" s="117"/>
      <c r="Q94" s="117"/>
      <c r="R94" s="247">
        <f>'[1]budżet 2009'!$N$573</f>
        <v>79575</v>
      </c>
    </row>
    <row r="95" spans="2:18" s="138" customFormat="1" ht="22.5">
      <c r="B95" s="474"/>
      <c r="C95" s="78" t="s">
        <v>649</v>
      </c>
      <c r="D95" s="34"/>
      <c r="E95" s="252">
        <v>4179</v>
      </c>
      <c r="F95" s="117">
        <f t="shared" si="22"/>
        <v>14043</v>
      </c>
      <c r="G95" s="117">
        <f t="shared" si="23"/>
        <v>14043</v>
      </c>
      <c r="H95" s="247"/>
      <c r="I95" s="117">
        <f t="shared" si="24"/>
        <v>14043</v>
      </c>
      <c r="J95" s="117">
        <f t="shared" si="25"/>
        <v>14043</v>
      </c>
      <c r="K95" s="117"/>
      <c r="L95" s="117"/>
      <c r="M95" s="117">
        <f>'[1]budżet 2009'!$N$574</f>
        <v>14043</v>
      </c>
      <c r="N95" s="117">
        <f t="shared" si="26"/>
        <v>0</v>
      </c>
      <c r="O95" s="117"/>
      <c r="P95" s="117"/>
      <c r="Q95" s="117"/>
      <c r="R95" s="247"/>
    </row>
    <row r="96" spans="2:18" s="138" customFormat="1" ht="22.5">
      <c r="B96" s="474"/>
      <c r="C96" s="78" t="s">
        <v>379</v>
      </c>
      <c r="D96" s="34"/>
      <c r="E96" s="252">
        <v>4218</v>
      </c>
      <c r="F96" s="117">
        <f t="shared" si="22"/>
        <v>10409</v>
      </c>
      <c r="G96" s="117">
        <f t="shared" si="23"/>
        <v>0</v>
      </c>
      <c r="H96" s="247">
        <f>N96</f>
        <v>10409</v>
      </c>
      <c r="I96" s="117">
        <f t="shared" si="24"/>
        <v>10409</v>
      </c>
      <c r="J96" s="117">
        <f t="shared" si="25"/>
        <v>0</v>
      </c>
      <c r="K96" s="117"/>
      <c r="L96" s="117"/>
      <c r="M96" s="117"/>
      <c r="N96" s="117">
        <f t="shared" si="26"/>
        <v>10409</v>
      </c>
      <c r="O96" s="117"/>
      <c r="P96" s="117"/>
      <c r="Q96" s="117"/>
      <c r="R96" s="247">
        <f>'[1]budżet 2009'!$N$575</f>
        <v>10409</v>
      </c>
    </row>
    <row r="97" spans="2:18" s="138" customFormat="1" ht="22.5">
      <c r="B97" s="474"/>
      <c r="C97" s="78" t="s">
        <v>379</v>
      </c>
      <c r="D97" s="34"/>
      <c r="E97" s="252">
        <v>4219</v>
      </c>
      <c r="F97" s="117">
        <f t="shared" si="22"/>
        <v>1837</v>
      </c>
      <c r="G97" s="117">
        <f t="shared" si="23"/>
        <v>1837</v>
      </c>
      <c r="H97" s="247"/>
      <c r="I97" s="117">
        <f t="shared" si="24"/>
        <v>1837</v>
      </c>
      <c r="J97" s="117">
        <f t="shared" si="25"/>
        <v>1837</v>
      </c>
      <c r="K97" s="117"/>
      <c r="L97" s="117"/>
      <c r="M97" s="117">
        <f>'[1]budżet 2009'!$N$576</f>
        <v>1837</v>
      </c>
      <c r="N97" s="117">
        <f t="shared" si="26"/>
        <v>0</v>
      </c>
      <c r="O97" s="117"/>
      <c r="P97" s="117"/>
      <c r="Q97" s="117"/>
      <c r="R97" s="247"/>
    </row>
    <row r="98" spans="2:18" s="138" customFormat="1" ht="12.75">
      <c r="B98" s="474"/>
      <c r="C98" s="78" t="s">
        <v>415</v>
      </c>
      <c r="D98" s="34"/>
      <c r="E98" s="252">
        <v>4308</v>
      </c>
      <c r="F98" s="117">
        <f t="shared" si="22"/>
        <v>19549</v>
      </c>
      <c r="G98" s="117">
        <f t="shared" si="23"/>
        <v>0</v>
      </c>
      <c r="H98" s="247">
        <f>N98</f>
        <v>19549</v>
      </c>
      <c r="I98" s="117">
        <f t="shared" si="24"/>
        <v>19549</v>
      </c>
      <c r="J98" s="117">
        <f t="shared" si="25"/>
        <v>0</v>
      </c>
      <c r="K98" s="117"/>
      <c r="L98" s="117"/>
      <c r="M98" s="117"/>
      <c r="N98" s="117">
        <f t="shared" si="26"/>
        <v>19549</v>
      </c>
      <c r="O98" s="117"/>
      <c r="P98" s="117"/>
      <c r="Q98" s="117"/>
      <c r="R98" s="247">
        <f>'[1]budżet 2009'!$N$577</f>
        <v>19549</v>
      </c>
    </row>
    <row r="99" spans="2:18" s="138" customFormat="1" ht="12.75">
      <c r="B99" s="474"/>
      <c r="C99" s="78" t="s">
        <v>415</v>
      </c>
      <c r="D99" s="34"/>
      <c r="E99" s="252">
        <v>4309</v>
      </c>
      <c r="F99" s="117">
        <f t="shared" si="22"/>
        <v>3450</v>
      </c>
      <c r="G99" s="117">
        <f t="shared" si="23"/>
        <v>3450</v>
      </c>
      <c r="H99" s="247"/>
      <c r="I99" s="117">
        <f t="shared" si="24"/>
        <v>3450</v>
      </c>
      <c r="J99" s="117">
        <f t="shared" si="25"/>
        <v>3450</v>
      </c>
      <c r="K99" s="117"/>
      <c r="L99" s="117"/>
      <c r="M99" s="117">
        <f>'[1]budżet 2009'!$N$578</f>
        <v>3450</v>
      </c>
      <c r="N99" s="117">
        <f t="shared" si="26"/>
        <v>0</v>
      </c>
      <c r="O99" s="117"/>
      <c r="P99" s="117"/>
      <c r="Q99" s="117"/>
      <c r="R99" s="247"/>
    </row>
    <row r="100" spans="2:18" s="138" customFormat="1" ht="33.75">
      <c r="B100" s="474"/>
      <c r="C100" s="78" t="s">
        <v>457</v>
      </c>
      <c r="D100" s="34"/>
      <c r="E100" s="252">
        <v>4378</v>
      </c>
      <c r="F100" s="117">
        <f t="shared" si="22"/>
        <v>2489</v>
      </c>
      <c r="G100" s="117">
        <f t="shared" si="23"/>
        <v>0</v>
      </c>
      <c r="H100" s="247">
        <f>N100</f>
        <v>2489</v>
      </c>
      <c r="I100" s="117">
        <f t="shared" si="24"/>
        <v>2489</v>
      </c>
      <c r="J100" s="117">
        <f t="shared" si="25"/>
        <v>0</v>
      </c>
      <c r="K100" s="117"/>
      <c r="L100" s="117"/>
      <c r="M100" s="117"/>
      <c r="N100" s="117">
        <f t="shared" si="26"/>
        <v>2489</v>
      </c>
      <c r="O100" s="117"/>
      <c r="P100" s="117"/>
      <c r="Q100" s="117"/>
      <c r="R100" s="247">
        <f>'[1]budżet 2009'!$N$579</f>
        <v>2489</v>
      </c>
    </row>
    <row r="101" spans="2:18" s="138" customFormat="1" ht="33.75">
      <c r="B101" s="474"/>
      <c r="C101" s="78" t="s">
        <v>457</v>
      </c>
      <c r="D101" s="34"/>
      <c r="E101" s="252">
        <v>4379</v>
      </c>
      <c r="F101" s="117">
        <f t="shared" si="22"/>
        <v>439</v>
      </c>
      <c r="G101" s="117">
        <f t="shared" si="23"/>
        <v>439</v>
      </c>
      <c r="H101" s="247"/>
      <c r="I101" s="117">
        <f t="shared" si="24"/>
        <v>439</v>
      </c>
      <c r="J101" s="117">
        <f t="shared" si="25"/>
        <v>439</v>
      </c>
      <c r="K101" s="117"/>
      <c r="L101" s="117"/>
      <c r="M101" s="117">
        <f>'[1]budżet 2009'!$N$580</f>
        <v>439</v>
      </c>
      <c r="N101" s="117">
        <f t="shared" si="26"/>
        <v>0</v>
      </c>
      <c r="O101" s="117"/>
      <c r="P101" s="117"/>
      <c r="Q101" s="117"/>
      <c r="R101" s="247"/>
    </row>
    <row r="102" spans="2:18" s="138" customFormat="1" ht="11.25">
      <c r="B102" s="474"/>
      <c r="C102" s="134">
        <v>2009</v>
      </c>
      <c r="D102" s="136"/>
      <c r="E102" s="136"/>
      <c r="F102" s="135">
        <f>G102+H102</f>
        <v>148446</v>
      </c>
      <c r="G102" s="135">
        <f>SUM(G90:G101)</f>
        <v>22267</v>
      </c>
      <c r="H102" s="135">
        <f>SUM(H90:H101)</f>
        <v>126179</v>
      </c>
      <c r="I102" s="135">
        <f>J102+N102</f>
        <v>148446</v>
      </c>
      <c r="J102" s="135">
        <f>SUM(K102:M102)</f>
        <v>22267</v>
      </c>
      <c r="K102" s="135">
        <f>SUM(K90:K101)</f>
        <v>0</v>
      </c>
      <c r="L102" s="135">
        <f>SUM(L90:L101)</f>
        <v>0</v>
      </c>
      <c r="M102" s="135">
        <f>SUM(M90:M101)</f>
        <v>22267</v>
      </c>
      <c r="N102" s="135">
        <f>O102+P102+Q102+R102</f>
        <v>126179</v>
      </c>
      <c r="O102" s="135">
        <f>SUM(O90:O101)</f>
        <v>0</v>
      </c>
      <c r="P102" s="135">
        <f>SUM(P90:P101)</f>
        <v>0</v>
      </c>
      <c r="Q102" s="135">
        <f>SUM(Q90:Q101)</f>
        <v>0</v>
      </c>
      <c r="R102" s="135">
        <f>SUM(R90:R101)</f>
        <v>126179</v>
      </c>
    </row>
    <row r="103" spans="2:18" s="138" customFormat="1" ht="11.25">
      <c r="B103" s="474"/>
      <c r="C103" s="134">
        <v>2010</v>
      </c>
      <c r="D103" s="136"/>
      <c r="E103" s="136"/>
      <c r="F103" s="135">
        <f>G103+H103</f>
        <v>110487</v>
      </c>
      <c r="G103" s="135">
        <v>16573</v>
      </c>
      <c r="H103" s="133">
        <v>93914</v>
      </c>
      <c r="I103" s="135"/>
      <c r="J103" s="135"/>
      <c r="K103" s="136"/>
      <c r="L103" s="136"/>
      <c r="M103" s="242"/>
      <c r="N103" s="135"/>
      <c r="O103" s="136"/>
      <c r="P103" s="136"/>
      <c r="Q103" s="136"/>
      <c r="R103" s="136"/>
    </row>
    <row r="104" spans="2:18" s="138" customFormat="1" ht="11.25">
      <c r="B104" s="474"/>
      <c r="C104" s="134">
        <v>2008</v>
      </c>
      <c r="D104" s="136"/>
      <c r="E104" s="136"/>
      <c r="F104" s="135">
        <f>G104+H104</f>
        <v>48512</v>
      </c>
      <c r="G104" s="135">
        <v>7277</v>
      </c>
      <c r="H104" s="133">
        <v>41235</v>
      </c>
      <c r="I104" s="135"/>
      <c r="J104" s="135"/>
      <c r="K104" s="136"/>
      <c r="L104" s="136"/>
      <c r="M104" s="242"/>
      <c r="N104" s="135"/>
      <c r="O104" s="136"/>
      <c r="P104" s="136"/>
      <c r="Q104" s="136"/>
      <c r="R104" s="136"/>
    </row>
    <row r="105" spans="2:18" s="138" customFormat="1" ht="11.25" customHeight="1">
      <c r="B105" s="474" t="s">
        <v>647</v>
      </c>
      <c r="C105" s="134" t="s">
        <v>262</v>
      </c>
      <c r="D105" s="476" t="s">
        <v>20</v>
      </c>
      <c r="E105" s="476"/>
      <c r="F105" s="476"/>
      <c r="G105" s="476"/>
      <c r="H105" s="476"/>
      <c r="I105" s="476"/>
      <c r="J105" s="476"/>
      <c r="K105" s="476"/>
      <c r="L105" s="476"/>
      <c r="M105" s="476"/>
      <c r="N105" s="476"/>
      <c r="O105" s="476"/>
      <c r="P105" s="476"/>
      <c r="Q105" s="476"/>
      <c r="R105" s="476"/>
    </row>
    <row r="106" spans="2:18" s="138" customFormat="1" ht="11.25" customHeight="1">
      <c r="B106" s="474"/>
      <c r="C106" s="134" t="s">
        <v>263</v>
      </c>
      <c r="D106" s="476"/>
      <c r="E106" s="476"/>
      <c r="F106" s="476"/>
      <c r="G106" s="476"/>
      <c r="H106" s="476"/>
      <c r="I106" s="476"/>
      <c r="J106" s="476"/>
      <c r="K106" s="476"/>
      <c r="L106" s="476"/>
      <c r="M106" s="476"/>
      <c r="N106" s="476"/>
      <c r="O106" s="476"/>
      <c r="P106" s="476"/>
      <c r="Q106" s="476"/>
      <c r="R106" s="476"/>
    </row>
    <row r="107" spans="2:18" s="138" customFormat="1" ht="11.25" customHeight="1">
      <c r="B107" s="474"/>
      <c r="C107" s="134" t="s">
        <v>264</v>
      </c>
      <c r="D107" s="476"/>
      <c r="E107" s="476"/>
      <c r="F107" s="476"/>
      <c r="G107" s="476"/>
      <c r="H107" s="476"/>
      <c r="I107" s="476"/>
      <c r="J107" s="476"/>
      <c r="K107" s="476"/>
      <c r="L107" s="476"/>
      <c r="M107" s="476"/>
      <c r="N107" s="476"/>
      <c r="O107" s="476"/>
      <c r="P107" s="476"/>
      <c r="Q107" s="476"/>
      <c r="R107" s="476"/>
    </row>
    <row r="108" spans="2:18" s="138" customFormat="1" ht="11.25" customHeight="1">
      <c r="B108" s="474"/>
      <c r="C108" s="134" t="s">
        <v>265</v>
      </c>
      <c r="D108" s="476"/>
      <c r="E108" s="476"/>
      <c r="F108" s="476"/>
      <c r="G108" s="476"/>
      <c r="H108" s="476"/>
      <c r="I108" s="476"/>
      <c r="J108" s="476"/>
      <c r="K108" s="476"/>
      <c r="L108" s="476"/>
      <c r="M108" s="476"/>
      <c r="N108" s="476"/>
      <c r="O108" s="476"/>
      <c r="P108" s="476"/>
      <c r="Q108" s="476"/>
      <c r="R108" s="476"/>
    </row>
    <row r="109" spans="2:18" s="138" customFormat="1" ht="12.75">
      <c r="B109" s="474"/>
      <c r="C109" s="266" t="s">
        <v>266</v>
      </c>
      <c r="D109" s="34"/>
      <c r="E109" s="140" t="s">
        <v>45</v>
      </c>
      <c r="F109" s="117">
        <f>F126+F127</f>
        <v>229573</v>
      </c>
      <c r="G109" s="117">
        <f aca="true" t="shared" si="27" ref="G109:R109">G126+G127</f>
        <v>34437</v>
      </c>
      <c r="H109" s="117">
        <f t="shared" si="27"/>
        <v>195136</v>
      </c>
      <c r="I109" s="117">
        <f t="shared" si="27"/>
        <v>121138</v>
      </c>
      <c r="J109" s="117">
        <f t="shared" si="27"/>
        <v>18172</v>
      </c>
      <c r="K109" s="117">
        <f t="shared" si="27"/>
        <v>0</v>
      </c>
      <c r="L109" s="117">
        <f t="shared" si="27"/>
        <v>0</v>
      </c>
      <c r="M109" s="117">
        <f t="shared" si="27"/>
        <v>18172</v>
      </c>
      <c r="N109" s="117">
        <f t="shared" si="27"/>
        <v>102966</v>
      </c>
      <c r="O109" s="117">
        <f t="shared" si="27"/>
        <v>0</v>
      </c>
      <c r="P109" s="117">
        <f t="shared" si="27"/>
        <v>0</v>
      </c>
      <c r="Q109" s="117">
        <f t="shared" si="27"/>
        <v>0</v>
      </c>
      <c r="R109" s="247">
        <f t="shared" si="27"/>
        <v>102966</v>
      </c>
    </row>
    <row r="110" spans="2:18" s="138" customFormat="1" ht="22.5">
      <c r="B110" s="474"/>
      <c r="C110" s="78" t="s">
        <v>453</v>
      </c>
      <c r="D110" s="34"/>
      <c r="E110" s="252">
        <v>4118</v>
      </c>
      <c r="F110" s="117">
        <f aca="true" t="shared" si="28" ref="F110:F125">G110+H110</f>
        <v>9708</v>
      </c>
      <c r="G110" s="117">
        <f>J110</f>
        <v>0</v>
      </c>
      <c r="H110" s="247">
        <f>N110</f>
        <v>9708</v>
      </c>
      <c r="I110" s="117"/>
      <c r="J110" s="117">
        <f>SUM(K110:M110)</f>
        <v>0</v>
      </c>
      <c r="K110" s="117"/>
      <c r="L110" s="117"/>
      <c r="M110" s="117"/>
      <c r="N110" s="117">
        <f>SUM(O110:R110)</f>
        <v>9708</v>
      </c>
      <c r="O110" s="117"/>
      <c r="P110" s="117"/>
      <c r="Q110" s="117"/>
      <c r="R110" s="247">
        <f>'[1]budżet 2009'!$N$552</f>
        <v>9708</v>
      </c>
    </row>
    <row r="111" spans="2:18" s="138" customFormat="1" ht="22.5">
      <c r="B111" s="474"/>
      <c r="C111" s="78" t="s">
        <v>453</v>
      </c>
      <c r="D111" s="34"/>
      <c r="E111" s="252">
        <v>4119</v>
      </c>
      <c r="F111" s="117">
        <f t="shared" si="28"/>
        <v>1713</v>
      </c>
      <c r="G111" s="117">
        <f aca="true" t="shared" si="29" ref="G111:G125">J111</f>
        <v>1713</v>
      </c>
      <c r="H111" s="247">
        <f aca="true" t="shared" si="30" ref="H111:H125">N111</f>
        <v>0</v>
      </c>
      <c r="I111" s="117">
        <f>J111+N111</f>
        <v>1713</v>
      </c>
      <c r="J111" s="117">
        <f aca="true" t="shared" si="31" ref="J111:J125">SUM(K111:M111)</f>
        <v>1713</v>
      </c>
      <c r="K111" s="117"/>
      <c r="L111" s="117"/>
      <c r="M111" s="117">
        <f>'[1]budżet 2009'!$N$553</f>
        <v>1713</v>
      </c>
      <c r="N111" s="117">
        <f aca="true" t="shared" si="32" ref="N111:N125">SUM(O111:R111)</f>
        <v>0</v>
      </c>
      <c r="O111" s="117"/>
      <c r="P111" s="117"/>
      <c r="Q111" s="117"/>
      <c r="R111" s="247"/>
    </row>
    <row r="112" spans="2:18" s="138" customFormat="1" ht="12.75">
      <c r="B112" s="474"/>
      <c r="C112" s="78" t="s">
        <v>455</v>
      </c>
      <c r="D112" s="34"/>
      <c r="E112" s="252">
        <v>4128</v>
      </c>
      <c r="F112" s="117">
        <f t="shared" si="28"/>
        <v>1550</v>
      </c>
      <c r="G112" s="117">
        <f t="shared" si="29"/>
        <v>0</v>
      </c>
      <c r="H112" s="247">
        <f t="shared" si="30"/>
        <v>1550</v>
      </c>
      <c r="I112" s="117">
        <f aca="true" t="shared" si="33" ref="I112:I125">J112+N112</f>
        <v>1550</v>
      </c>
      <c r="J112" s="117">
        <f t="shared" si="31"/>
        <v>0</v>
      </c>
      <c r="K112" s="117"/>
      <c r="L112" s="117"/>
      <c r="M112" s="117"/>
      <c r="N112" s="117">
        <f t="shared" si="32"/>
        <v>1550</v>
      </c>
      <c r="O112" s="117"/>
      <c r="P112" s="117"/>
      <c r="Q112" s="117"/>
      <c r="R112" s="247">
        <f>'[1]budżet 2009'!$N$554</f>
        <v>1550</v>
      </c>
    </row>
    <row r="113" spans="2:18" s="138" customFormat="1" ht="12.75">
      <c r="B113" s="474"/>
      <c r="C113" s="78" t="s">
        <v>455</v>
      </c>
      <c r="D113" s="34"/>
      <c r="E113" s="252">
        <v>4129</v>
      </c>
      <c r="F113" s="117">
        <f t="shared" si="28"/>
        <v>274</v>
      </c>
      <c r="G113" s="117">
        <f t="shared" si="29"/>
        <v>274</v>
      </c>
      <c r="H113" s="247">
        <f t="shared" si="30"/>
        <v>0</v>
      </c>
      <c r="I113" s="117">
        <f t="shared" si="33"/>
        <v>274</v>
      </c>
      <c r="J113" s="117">
        <f t="shared" si="31"/>
        <v>274</v>
      </c>
      <c r="K113" s="117"/>
      <c r="L113" s="117"/>
      <c r="M113" s="117">
        <f>'[1]budżet 2009'!$N$555</f>
        <v>274</v>
      </c>
      <c r="N113" s="117">
        <f t="shared" si="32"/>
        <v>0</v>
      </c>
      <c r="O113" s="117"/>
      <c r="P113" s="117"/>
      <c r="Q113" s="117"/>
      <c r="R113" s="247"/>
    </row>
    <row r="114" spans="2:18" s="138" customFormat="1" ht="22.5">
      <c r="B114" s="474"/>
      <c r="C114" s="78" t="s">
        <v>413</v>
      </c>
      <c r="D114" s="34"/>
      <c r="E114" s="252">
        <v>4178</v>
      </c>
      <c r="F114" s="117">
        <f t="shared" si="28"/>
        <v>63284</v>
      </c>
      <c r="G114" s="117">
        <f t="shared" si="29"/>
        <v>0</v>
      </c>
      <c r="H114" s="247">
        <f t="shared" si="30"/>
        <v>63284</v>
      </c>
      <c r="I114" s="117">
        <f t="shared" si="33"/>
        <v>63284</v>
      </c>
      <c r="J114" s="117">
        <f t="shared" si="31"/>
        <v>0</v>
      </c>
      <c r="K114" s="117"/>
      <c r="L114" s="117"/>
      <c r="M114" s="117"/>
      <c r="N114" s="117">
        <f t="shared" si="32"/>
        <v>63284</v>
      </c>
      <c r="O114" s="117"/>
      <c r="P114" s="117"/>
      <c r="Q114" s="117"/>
      <c r="R114" s="247">
        <f>'[1]budżet 2009'!$N$556</f>
        <v>63284</v>
      </c>
    </row>
    <row r="115" spans="2:18" s="138" customFormat="1" ht="22.5">
      <c r="B115" s="474"/>
      <c r="C115" s="78" t="s">
        <v>413</v>
      </c>
      <c r="D115" s="34"/>
      <c r="E115" s="252">
        <v>4179</v>
      </c>
      <c r="F115" s="117">
        <f t="shared" si="28"/>
        <v>11168</v>
      </c>
      <c r="G115" s="117">
        <f t="shared" si="29"/>
        <v>11168</v>
      </c>
      <c r="H115" s="247">
        <f t="shared" si="30"/>
        <v>0</v>
      </c>
      <c r="I115" s="117">
        <f t="shared" si="33"/>
        <v>11168</v>
      </c>
      <c r="J115" s="117">
        <f t="shared" si="31"/>
        <v>11168</v>
      </c>
      <c r="K115" s="117"/>
      <c r="L115" s="117"/>
      <c r="M115" s="117">
        <f>'[1]budżet 2009'!$N$557</f>
        <v>11168</v>
      </c>
      <c r="N115" s="117">
        <f t="shared" si="32"/>
        <v>0</v>
      </c>
      <c r="O115" s="117"/>
      <c r="P115" s="117"/>
      <c r="Q115" s="117"/>
      <c r="R115" s="247"/>
    </row>
    <row r="116" spans="2:18" s="138" customFormat="1" ht="22.5">
      <c r="B116" s="474"/>
      <c r="C116" s="78" t="s">
        <v>379</v>
      </c>
      <c r="D116" s="34"/>
      <c r="E116" s="252">
        <v>4218</v>
      </c>
      <c r="F116" s="117">
        <f t="shared" si="28"/>
        <v>12936</v>
      </c>
      <c r="G116" s="117">
        <f t="shared" si="29"/>
        <v>0</v>
      </c>
      <c r="H116" s="247">
        <f t="shared" si="30"/>
        <v>12936</v>
      </c>
      <c r="I116" s="117">
        <f t="shared" si="33"/>
        <v>12936</v>
      </c>
      <c r="J116" s="117">
        <f t="shared" si="31"/>
        <v>0</v>
      </c>
      <c r="K116" s="117"/>
      <c r="L116" s="117"/>
      <c r="M116" s="117"/>
      <c r="N116" s="117">
        <f t="shared" si="32"/>
        <v>12936</v>
      </c>
      <c r="O116" s="117"/>
      <c r="P116" s="117"/>
      <c r="Q116" s="117"/>
      <c r="R116" s="247">
        <f>'[1]budżet 2009'!$N$558</f>
        <v>12936</v>
      </c>
    </row>
    <row r="117" spans="2:18" s="138" customFormat="1" ht="22.5">
      <c r="B117" s="474"/>
      <c r="C117" s="78" t="s">
        <v>379</v>
      </c>
      <c r="D117" s="34"/>
      <c r="E117" s="252">
        <v>4219</v>
      </c>
      <c r="F117" s="117">
        <f t="shared" si="28"/>
        <v>2283</v>
      </c>
      <c r="G117" s="117">
        <f t="shared" si="29"/>
        <v>2283</v>
      </c>
      <c r="H117" s="247">
        <f t="shared" si="30"/>
        <v>0</v>
      </c>
      <c r="I117" s="117">
        <f t="shared" si="33"/>
        <v>2283</v>
      </c>
      <c r="J117" s="117">
        <f t="shared" si="31"/>
        <v>2283</v>
      </c>
      <c r="K117" s="117"/>
      <c r="L117" s="117"/>
      <c r="M117" s="117">
        <f>'[1]budżet 2009'!$N$559</f>
        <v>2283</v>
      </c>
      <c r="N117" s="117">
        <f t="shared" si="32"/>
        <v>0</v>
      </c>
      <c r="O117" s="117"/>
      <c r="P117" s="117"/>
      <c r="Q117" s="117"/>
      <c r="R117" s="247"/>
    </row>
    <row r="118" spans="2:18" s="138" customFormat="1" ht="12.75">
      <c r="B118" s="474"/>
      <c r="C118" s="78" t="s">
        <v>650</v>
      </c>
      <c r="D118" s="34"/>
      <c r="E118" s="252">
        <v>4268</v>
      </c>
      <c r="F118" s="117">
        <f t="shared" si="28"/>
        <v>1018</v>
      </c>
      <c r="G118" s="117">
        <f t="shared" si="29"/>
        <v>0</v>
      </c>
      <c r="H118" s="247">
        <f t="shared" si="30"/>
        <v>1018</v>
      </c>
      <c r="I118" s="117">
        <f t="shared" si="33"/>
        <v>1018</v>
      </c>
      <c r="J118" s="117">
        <f t="shared" si="31"/>
        <v>0</v>
      </c>
      <c r="K118" s="117"/>
      <c r="L118" s="117"/>
      <c r="M118" s="117"/>
      <c r="N118" s="117">
        <f t="shared" si="32"/>
        <v>1018</v>
      </c>
      <c r="O118" s="117"/>
      <c r="P118" s="117"/>
      <c r="Q118" s="117"/>
      <c r="R118" s="247">
        <f>'[1]budżet 2009'!$N$560</f>
        <v>1018</v>
      </c>
    </row>
    <row r="119" spans="2:18" s="138" customFormat="1" ht="12.75">
      <c r="B119" s="474"/>
      <c r="C119" s="78" t="s">
        <v>650</v>
      </c>
      <c r="D119" s="34"/>
      <c r="E119" s="252">
        <v>4269</v>
      </c>
      <c r="F119" s="117">
        <f t="shared" si="28"/>
        <v>180</v>
      </c>
      <c r="G119" s="117">
        <f t="shared" si="29"/>
        <v>180</v>
      </c>
      <c r="H119" s="247">
        <f t="shared" si="30"/>
        <v>0</v>
      </c>
      <c r="I119" s="117">
        <f t="shared" si="33"/>
        <v>180</v>
      </c>
      <c r="J119" s="117">
        <f t="shared" si="31"/>
        <v>180</v>
      </c>
      <c r="K119" s="117"/>
      <c r="L119" s="117"/>
      <c r="M119" s="117">
        <f>'[1]budżet 2009'!$N$561</f>
        <v>180</v>
      </c>
      <c r="N119" s="117">
        <f t="shared" si="32"/>
        <v>0</v>
      </c>
      <c r="O119" s="117"/>
      <c r="P119" s="117"/>
      <c r="Q119" s="117"/>
      <c r="R119" s="247"/>
    </row>
    <row r="120" spans="2:18" s="138" customFormat="1" ht="33.75">
      <c r="B120" s="474"/>
      <c r="C120" s="78" t="s">
        <v>457</v>
      </c>
      <c r="D120" s="34"/>
      <c r="E120" s="252">
        <v>4378</v>
      </c>
      <c r="F120" s="117">
        <f t="shared" si="28"/>
        <v>1109</v>
      </c>
      <c r="G120" s="117">
        <f t="shared" si="29"/>
        <v>0</v>
      </c>
      <c r="H120" s="247">
        <f t="shared" si="30"/>
        <v>1109</v>
      </c>
      <c r="I120" s="117">
        <f t="shared" si="33"/>
        <v>1109</v>
      </c>
      <c r="J120" s="117">
        <f t="shared" si="31"/>
        <v>0</v>
      </c>
      <c r="K120" s="117"/>
      <c r="L120" s="117"/>
      <c r="M120" s="117"/>
      <c r="N120" s="117">
        <f t="shared" si="32"/>
        <v>1109</v>
      </c>
      <c r="O120" s="117"/>
      <c r="P120" s="117"/>
      <c r="Q120" s="117"/>
      <c r="R120" s="247">
        <f>'[1]budżet 2009'!$N$564</f>
        <v>1109</v>
      </c>
    </row>
    <row r="121" spans="2:18" s="138" customFormat="1" ht="33.75">
      <c r="B121" s="474"/>
      <c r="C121" s="78" t="s">
        <v>457</v>
      </c>
      <c r="D121" s="34"/>
      <c r="E121" s="252">
        <v>4379</v>
      </c>
      <c r="F121" s="117">
        <f t="shared" si="28"/>
        <v>196</v>
      </c>
      <c r="G121" s="117">
        <f t="shared" si="29"/>
        <v>196</v>
      </c>
      <c r="H121" s="247">
        <f t="shared" si="30"/>
        <v>0</v>
      </c>
      <c r="I121" s="117">
        <f t="shared" si="33"/>
        <v>196</v>
      </c>
      <c r="J121" s="117">
        <f t="shared" si="31"/>
        <v>196</v>
      </c>
      <c r="K121" s="117"/>
      <c r="L121" s="117"/>
      <c r="M121" s="117">
        <f>'[1]budżet 2009'!$N$565</f>
        <v>196</v>
      </c>
      <c r="N121" s="117">
        <f t="shared" si="32"/>
        <v>0</v>
      </c>
      <c r="O121" s="117"/>
      <c r="P121" s="117"/>
      <c r="Q121" s="117"/>
      <c r="R121" s="247"/>
    </row>
    <row r="122" spans="2:18" s="138" customFormat="1" ht="12.75">
      <c r="B122" s="474"/>
      <c r="C122" s="78" t="s">
        <v>362</v>
      </c>
      <c r="D122" s="34"/>
      <c r="E122" s="252">
        <v>4308</v>
      </c>
      <c r="F122" s="117">
        <f t="shared" si="28"/>
        <v>13021</v>
      </c>
      <c r="G122" s="117">
        <f t="shared" si="29"/>
        <v>0</v>
      </c>
      <c r="H122" s="247">
        <f t="shared" si="30"/>
        <v>13021</v>
      </c>
      <c r="I122" s="117">
        <f t="shared" si="33"/>
        <v>13021</v>
      </c>
      <c r="J122" s="117">
        <f t="shared" si="31"/>
        <v>0</v>
      </c>
      <c r="K122" s="117"/>
      <c r="L122" s="117"/>
      <c r="M122" s="117"/>
      <c r="N122" s="117">
        <f t="shared" si="32"/>
        <v>13021</v>
      </c>
      <c r="O122" s="117"/>
      <c r="P122" s="117"/>
      <c r="Q122" s="117"/>
      <c r="R122" s="247">
        <f>'[1]budżet 2009'!$N$562</f>
        <v>13021</v>
      </c>
    </row>
    <row r="123" spans="2:18" s="138" customFormat="1" ht="12.75">
      <c r="B123" s="474"/>
      <c r="C123" s="78" t="s">
        <v>362</v>
      </c>
      <c r="D123" s="34"/>
      <c r="E123" s="252">
        <v>4309</v>
      </c>
      <c r="F123" s="117">
        <f t="shared" si="28"/>
        <v>2298</v>
      </c>
      <c r="G123" s="117">
        <f t="shared" si="29"/>
        <v>2298</v>
      </c>
      <c r="H123" s="247">
        <f t="shared" si="30"/>
        <v>0</v>
      </c>
      <c r="I123" s="117">
        <f t="shared" si="33"/>
        <v>2298</v>
      </c>
      <c r="J123" s="117">
        <f t="shared" si="31"/>
        <v>2298</v>
      </c>
      <c r="K123" s="117"/>
      <c r="L123" s="117"/>
      <c r="M123" s="117">
        <f>'[1]budżet 2009'!$N$563</f>
        <v>2298</v>
      </c>
      <c r="N123" s="117">
        <f t="shared" si="32"/>
        <v>0</v>
      </c>
      <c r="O123" s="117"/>
      <c r="P123" s="117"/>
      <c r="Q123" s="117"/>
      <c r="R123" s="247"/>
    </row>
    <row r="124" spans="2:18" s="138" customFormat="1" ht="33.75">
      <c r="B124" s="474"/>
      <c r="C124" s="78" t="s">
        <v>458</v>
      </c>
      <c r="D124" s="34"/>
      <c r="E124" s="252">
        <v>4758</v>
      </c>
      <c r="F124" s="117">
        <f t="shared" si="28"/>
        <v>340</v>
      </c>
      <c r="G124" s="117">
        <f t="shared" si="29"/>
        <v>0</v>
      </c>
      <c r="H124" s="247">
        <f t="shared" si="30"/>
        <v>340</v>
      </c>
      <c r="I124" s="117">
        <f t="shared" si="33"/>
        <v>340</v>
      </c>
      <c r="J124" s="117">
        <f t="shared" si="31"/>
        <v>0</v>
      </c>
      <c r="K124" s="117"/>
      <c r="L124" s="117"/>
      <c r="M124" s="117"/>
      <c r="N124" s="117">
        <f t="shared" si="32"/>
        <v>340</v>
      </c>
      <c r="O124" s="117"/>
      <c r="P124" s="117"/>
      <c r="Q124" s="117"/>
      <c r="R124" s="247">
        <f>'[1]budżet 2009'!$N$566</f>
        <v>340</v>
      </c>
    </row>
    <row r="125" spans="2:18" s="138" customFormat="1" ht="33.75">
      <c r="B125" s="474"/>
      <c r="C125" s="78" t="s">
        <v>458</v>
      </c>
      <c r="D125" s="34"/>
      <c r="E125" s="252">
        <v>4759</v>
      </c>
      <c r="F125" s="117">
        <f t="shared" si="28"/>
        <v>60</v>
      </c>
      <c r="G125" s="117">
        <f t="shared" si="29"/>
        <v>60</v>
      </c>
      <c r="H125" s="247">
        <f t="shared" si="30"/>
        <v>0</v>
      </c>
      <c r="I125" s="117">
        <f t="shared" si="33"/>
        <v>60</v>
      </c>
      <c r="J125" s="117">
        <f t="shared" si="31"/>
        <v>60</v>
      </c>
      <c r="K125" s="117"/>
      <c r="L125" s="117"/>
      <c r="M125" s="117">
        <v>60</v>
      </c>
      <c r="N125" s="117">
        <f t="shared" si="32"/>
        <v>0</v>
      </c>
      <c r="O125" s="117"/>
      <c r="P125" s="117"/>
      <c r="Q125" s="117"/>
      <c r="R125" s="247"/>
    </row>
    <row r="126" spans="2:18" s="138" customFormat="1" ht="11.25">
      <c r="B126" s="474"/>
      <c r="C126" s="134">
        <v>2009</v>
      </c>
      <c r="D126" s="136"/>
      <c r="E126" s="136"/>
      <c r="F126" s="135">
        <f>G126+H126</f>
        <v>121138</v>
      </c>
      <c r="G126" s="135">
        <f>SUM(G110:G125)</f>
        <v>18172</v>
      </c>
      <c r="H126" s="135">
        <f>SUM(H110:H125)</f>
        <v>102966</v>
      </c>
      <c r="I126" s="135">
        <f>J126+N126</f>
        <v>121138</v>
      </c>
      <c r="J126" s="135">
        <f>SUM(K126:M126)</f>
        <v>18172</v>
      </c>
      <c r="K126" s="135">
        <f>SUM(K110:K125)</f>
        <v>0</v>
      </c>
      <c r="L126" s="135">
        <f>SUM(L110:L125)</f>
        <v>0</v>
      </c>
      <c r="M126" s="135">
        <f>SUM(M110:M125)</f>
        <v>18172</v>
      </c>
      <c r="N126" s="135">
        <f>O126+P126+Q126+R126</f>
        <v>102966</v>
      </c>
      <c r="O126" s="135">
        <f>SUM(O110:O125)</f>
        <v>0</v>
      </c>
      <c r="P126" s="135">
        <f>SUM(P110:P125)</f>
        <v>0</v>
      </c>
      <c r="Q126" s="135">
        <f>SUM(Q110:Q125)</f>
        <v>0</v>
      </c>
      <c r="R126" s="135">
        <f>SUM(R110:R125)</f>
        <v>102966</v>
      </c>
    </row>
    <row r="127" spans="2:18" s="138" customFormat="1" ht="11.25">
      <c r="B127" s="474"/>
      <c r="C127" s="134">
        <v>2008</v>
      </c>
      <c r="D127" s="136"/>
      <c r="E127" s="136"/>
      <c r="F127" s="135">
        <f>G127+H127</f>
        <v>108435</v>
      </c>
      <c r="G127" s="135">
        <v>16265</v>
      </c>
      <c r="H127" s="133">
        <v>92170</v>
      </c>
      <c r="I127" s="135"/>
      <c r="J127" s="135"/>
      <c r="K127" s="136"/>
      <c r="L127" s="136"/>
      <c r="M127" s="242"/>
      <c r="N127" s="135"/>
      <c r="O127" s="136"/>
      <c r="P127" s="136"/>
      <c r="Q127" s="136"/>
      <c r="R127" s="136"/>
    </row>
    <row r="128" spans="2:18" s="138" customFormat="1" ht="11.25" customHeight="1">
      <c r="B128" s="474" t="s">
        <v>22</v>
      </c>
      <c r="C128" s="134" t="s">
        <v>262</v>
      </c>
      <c r="D128" s="476" t="s">
        <v>21</v>
      </c>
      <c r="E128" s="476"/>
      <c r="F128" s="476"/>
      <c r="G128" s="476"/>
      <c r="H128" s="476"/>
      <c r="I128" s="476"/>
      <c r="J128" s="476"/>
      <c r="K128" s="476"/>
      <c r="L128" s="476"/>
      <c r="M128" s="476"/>
      <c r="N128" s="476"/>
      <c r="O128" s="476"/>
      <c r="P128" s="476"/>
      <c r="Q128" s="476"/>
      <c r="R128" s="476"/>
    </row>
    <row r="129" spans="2:18" s="138" customFormat="1" ht="11.25" customHeight="1">
      <c r="B129" s="474"/>
      <c r="C129" s="134" t="s">
        <v>263</v>
      </c>
      <c r="D129" s="476"/>
      <c r="E129" s="476"/>
      <c r="F129" s="476"/>
      <c r="G129" s="476"/>
      <c r="H129" s="476"/>
      <c r="I129" s="476"/>
      <c r="J129" s="476"/>
      <c r="K129" s="476"/>
      <c r="L129" s="476"/>
      <c r="M129" s="476"/>
      <c r="N129" s="476"/>
      <c r="O129" s="476"/>
      <c r="P129" s="476"/>
      <c r="Q129" s="476"/>
      <c r="R129" s="476"/>
    </row>
    <row r="130" spans="2:18" s="138" customFormat="1" ht="11.25" customHeight="1">
      <c r="B130" s="474"/>
      <c r="C130" s="134" t="s">
        <v>264</v>
      </c>
      <c r="D130" s="476"/>
      <c r="E130" s="476"/>
      <c r="F130" s="476"/>
      <c r="G130" s="476"/>
      <c r="H130" s="476"/>
      <c r="I130" s="476"/>
      <c r="J130" s="476"/>
      <c r="K130" s="476"/>
      <c r="L130" s="476"/>
      <c r="M130" s="476"/>
      <c r="N130" s="476"/>
      <c r="O130" s="476"/>
      <c r="P130" s="476"/>
      <c r="Q130" s="476"/>
      <c r="R130" s="476"/>
    </row>
    <row r="131" spans="2:18" s="138" customFormat="1" ht="11.25" customHeight="1">
      <c r="B131" s="474"/>
      <c r="C131" s="134" t="s">
        <v>265</v>
      </c>
      <c r="D131" s="476"/>
      <c r="E131" s="476"/>
      <c r="F131" s="476"/>
      <c r="G131" s="476"/>
      <c r="H131" s="476"/>
      <c r="I131" s="476"/>
      <c r="J131" s="476"/>
      <c r="K131" s="476"/>
      <c r="L131" s="476"/>
      <c r="M131" s="476"/>
      <c r="N131" s="476"/>
      <c r="O131" s="476"/>
      <c r="P131" s="476"/>
      <c r="Q131" s="476"/>
      <c r="R131" s="476"/>
    </row>
    <row r="132" spans="2:18" s="138" customFormat="1" ht="12.75">
      <c r="B132" s="474"/>
      <c r="C132" s="266" t="s">
        <v>266</v>
      </c>
      <c r="D132" s="34"/>
      <c r="E132" s="140" t="s">
        <v>407</v>
      </c>
      <c r="F132" s="117">
        <f>F147</f>
        <v>148130</v>
      </c>
      <c r="G132" s="117">
        <f aca="true" t="shared" si="34" ref="G132:R132">G147</f>
        <v>41769</v>
      </c>
      <c r="H132" s="117">
        <f t="shared" si="34"/>
        <v>106361</v>
      </c>
      <c r="I132" s="117">
        <f t="shared" si="34"/>
        <v>148130</v>
      </c>
      <c r="J132" s="117">
        <f t="shared" si="34"/>
        <v>18769</v>
      </c>
      <c r="K132" s="117">
        <f t="shared" si="34"/>
        <v>0</v>
      </c>
      <c r="L132" s="117">
        <f t="shared" si="34"/>
        <v>0</v>
      </c>
      <c r="M132" s="117">
        <f t="shared" si="34"/>
        <v>18769</v>
      </c>
      <c r="N132" s="117">
        <f t="shared" si="34"/>
        <v>129361</v>
      </c>
      <c r="O132" s="117">
        <f t="shared" si="34"/>
        <v>0</v>
      </c>
      <c r="P132" s="117">
        <f t="shared" si="34"/>
        <v>0</v>
      </c>
      <c r="Q132" s="117">
        <f t="shared" si="34"/>
        <v>0</v>
      </c>
      <c r="R132" s="117">
        <f t="shared" si="34"/>
        <v>129361</v>
      </c>
    </row>
    <row r="133" spans="2:18" s="138" customFormat="1" ht="22.5">
      <c r="B133" s="474"/>
      <c r="C133" s="78" t="s">
        <v>453</v>
      </c>
      <c r="D133" s="34"/>
      <c r="E133" s="252">
        <v>4118</v>
      </c>
      <c r="F133" s="117">
        <f aca="true" t="shared" si="35" ref="F133:F146">G133+H133</f>
        <v>9718</v>
      </c>
      <c r="G133" s="117"/>
      <c r="H133" s="247">
        <f>R133</f>
        <v>9718</v>
      </c>
      <c r="I133" s="117">
        <f aca="true" t="shared" si="36" ref="I133:I146">J133+N133</f>
        <v>9718</v>
      </c>
      <c r="J133" s="117">
        <f aca="true" t="shared" si="37" ref="J133:J146">SUM(K133:M133)</f>
        <v>0</v>
      </c>
      <c r="K133" s="117"/>
      <c r="L133" s="117"/>
      <c r="M133" s="117"/>
      <c r="N133" s="117">
        <f aca="true" t="shared" si="38" ref="N133:N146">SUM(O133:R133)</f>
        <v>9718</v>
      </c>
      <c r="O133" s="117"/>
      <c r="P133" s="117"/>
      <c r="Q133" s="117"/>
      <c r="R133" s="247">
        <f>'[1]budżet 2009'!$N$600</f>
        <v>9718</v>
      </c>
    </row>
    <row r="134" spans="2:18" s="138" customFormat="1" ht="22.5">
      <c r="B134" s="474"/>
      <c r="C134" s="78" t="s">
        <v>453</v>
      </c>
      <c r="D134" s="34"/>
      <c r="E134" s="252">
        <v>4119</v>
      </c>
      <c r="F134" s="117">
        <f t="shared" si="35"/>
        <v>1715</v>
      </c>
      <c r="G134" s="117">
        <f>M134</f>
        <v>1715</v>
      </c>
      <c r="H134" s="247"/>
      <c r="I134" s="117">
        <f t="shared" si="36"/>
        <v>1715</v>
      </c>
      <c r="J134" s="117">
        <f t="shared" si="37"/>
        <v>1715</v>
      </c>
      <c r="K134" s="117"/>
      <c r="L134" s="117"/>
      <c r="M134" s="117">
        <f>'[1]budżet 2009'!$N$601</f>
        <v>1715</v>
      </c>
      <c r="N134" s="117">
        <f t="shared" si="38"/>
        <v>0</v>
      </c>
      <c r="O134" s="117"/>
      <c r="P134" s="117"/>
      <c r="Q134" s="117"/>
      <c r="R134" s="247"/>
    </row>
    <row r="135" spans="2:18" s="138" customFormat="1" ht="12.75">
      <c r="B135" s="474"/>
      <c r="C135" s="78" t="s">
        <v>455</v>
      </c>
      <c r="D135" s="34"/>
      <c r="E135" s="252">
        <v>4128</v>
      </c>
      <c r="F135" s="117">
        <f t="shared" si="35"/>
        <v>1552</v>
      </c>
      <c r="G135" s="117"/>
      <c r="H135" s="247">
        <f>R135</f>
        <v>1552</v>
      </c>
      <c r="I135" s="117">
        <f t="shared" si="36"/>
        <v>1552</v>
      </c>
      <c r="J135" s="117">
        <f t="shared" si="37"/>
        <v>0</v>
      </c>
      <c r="K135" s="117"/>
      <c r="L135" s="117"/>
      <c r="M135" s="117"/>
      <c r="N135" s="117">
        <f t="shared" si="38"/>
        <v>1552</v>
      </c>
      <c r="O135" s="117"/>
      <c r="P135" s="117"/>
      <c r="Q135" s="117"/>
      <c r="R135" s="247">
        <f>'[1]budżet 2009'!$N$602</f>
        <v>1552</v>
      </c>
    </row>
    <row r="136" spans="2:18" s="138" customFormat="1" ht="12.75">
      <c r="B136" s="474"/>
      <c r="C136" s="78" t="s">
        <v>455</v>
      </c>
      <c r="D136" s="34"/>
      <c r="E136" s="252">
        <v>4129</v>
      </c>
      <c r="F136" s="117">
        <f t="shared" si="35"/>
        <v>274</v>
      </c>
      <c r="G136" s="117">
        <f>M136</f>
        <v>274</v>
      </c>
      <c r="H136" s="247"/>
      <c r="I136" s="117">
        <f t="shared" si="36"/>
        <v>274</v>
      </c>
      <c r="J136" s="117">
        <f t="shared" si="37"/>
        <v>274</v>
      </c>
      <c r="K136" s="117"/>
      <c r="L136" s="117"/>
      <c r="M136" s="117">
        <f>'[1]budżet 2009'!$N$603</f>
        <v>274</v>
      </c>
      <c r="N136" s="117">
        <f t="shared" si="38"/>
        <v>0</v>
      </c>
      <c r="O136" s="117"/>
      <c r="P136" s="117"/>
      <c r="Q136" s="117"/>
      <c r="R136" s="247"/>
    </row>
    <row r="137" spans="2:18" s="138" customFormat="1" ht="22.5">
      <c r="B137" s="474"/>
      <c r="C137" s="78" t="s">
        <v>413</v>
      </c>
      <c r="D137" s="34"/>
      <c r="E137" s="252">
        <v>4178</v>
      </c>
      <c r="F137" s="117">
        <f t="shared" si="35"/>
        <v>63353</v>
      </c>
      <c r="G137" s="117"/>
      <c r="H137" s="247">
        <f>N137</f>
        <v>63353</v>
      </c>
      <c r="I137" s="117">
        <f t="shared" si="36"/>
        <v>63353</v>
      </c>
      <c r="J137" s="117">
        <f t="shared" si="37"/>
        <v>0</v>
      </c>
      <c r="K137" s="117"/>
      <c r="L137" s="117"/>
      <c r="M137" s="117"/>
      <c r="N137" s="117">
        <f t="shared" si="38"/>
        <v>63353</v>
      </c>
      <c r="O137" s="117"/>
      <c r="P137" s="117"/>
      <c r="Q137" s="117"/>
      <c r="R137" s="247">
        <f>'[1]budżet 2009'!$N$604</f>
        <v>63353</v>
      </c>
    </row>
    <row r="138" spans="2:18" s="138" customFormat="1" ht="22.5">
      <c r="B138" s="474"/>
      <c r="C138" s="78" t="s">
        <v>413</v>
      </c>
      <c r="D138" s="34"/>
      <c r="E138" s="252">
        <v>4179</v>
      </c>
      <c r="F138" s="117">
        <f t="shared" si="35"/>
        <v>11180</v>
      </c>
      <c r="G138" s="117">
        <f>J138</f>
        <v>11180</v>
      </c>
      <c r="H138" s="247"/>
      <c r="I138" s="117">
        <f t="shared" si="36"/>
        <v>11180</v>
      </c>
      <c r="J138" s="117">
        <f t="shared" si="37"/>
        <v>11180</v>
      </c>
      <c r="K138" s="117"/>
      <c r="L138" s="117"/>
      <c r="M138" s="117">
        <f>'[1]budżet 2009'!$N$605</f>
        <v>11180</v>
      </c>
      <c r="N138" s="117">
        <f t="shared" si="38"/>
        <v>0</v>
      </c>
      <c r="O138" s="117"/>
      <c r="P138" s="117"/>
      <c r="Q138" s="117"/>
      <c r="R138" s="247"/>
    </row>
    <row r="139" spans="2:18" s="138" customFormat="1" ht="22.5">
      <c r="B139" s="474"/>
      <c r="C139" s="78" t="s">
        <v>379</v>
      </c>
      <c r="D139" s="34"/>
      <c r="E139" s="252">
        <v>4218</v>
      </c>
      <c r="F139" s="117">
        <f t="shared" si="35"/>
        <v>9023</v>
      </c>
      <c r="G139" s="117"/>
      <c r="H139" s="247">
        <f>N139</f>
        <v>9023</v>
      </c>
      <c r="I139" s="117">
        <f t="shared" si="36"/>
        <v>9023</v>
      </c>
      <c r="J139" s="117">
        <f t="shared" si="37"/>
        <v>0</v>
      </c>
      <c r="K139" s="117"/>
      <c r="L139" s="117"/>
      <c r="M139" s="117"/>
      <c r="N139" s="117">
        <f t="shared" si="38"/>
        <v>9023</v>
      </c>
      <c r="O139" s="117"/>
      <c r="P139" s="117"/>
      <c r="Q139" s="117"/>
      <c r="R139" s="247">
        <f>'[1]budżet 2009'!$N$606</f>
        <v>9023</v>
      </c>
    </row>
    <row r="140" spans="2:18" s="138" customFormat="1" ht="22.5">
      <c r="B140" s="474"/>
      <c r="C140" s="78" t="s">
        <v>379</v>
      </c>
      <c r="D140" s="34"/>
      <c r="E140" s="252">
        <v>4219</v>
      </c>
      <c r="F140" s="117">
        <f t="shared" si="35"/>
        <v>1592</v>
      </c>
      <c r="G140" s="117">
        <f>I140</f>
        <v>1592</v>
      </c>
      <c r="H140" s="247"/>
      <c r="I140" s="117">
        <f t="shared" si="36"/>
        <v>1592</v>
      </c>
      <c r="J140" s="117">
        <f t="shared" si="37"/>
        <v>1592</v>
      </c>
      <c r="K140" s="117"/>
      <c r="L140" s="117"/>
      <c r="M140" s="117">
        <f>'[1]budżet 2009'!$N$607</f>
        <v>1592</v>
      </c>
      <c r="N140" s="117">
        <f t="shared" si="38"/>
        <v>0</v>
      </c>
      <c r="O140" s="117"/>
      <c r="P140" s="117"/>
      <c r="Q140" s="117"/>
      <c r="R140" s="247"/>
    </row>
    <row r="141" spans="2:18" s="138" customFormat="1" ht="12.75">
      <c r="B141" s="474"/>
      <c r="C141" s="78" t="s">
        <v>650</v>
      </c>
      <c r="D141" s="34"/>
      <c r="E141" s="252">
        <v>4268</v>
      </c>
      <c r="F141" s="117">
        <f t="shared" si="35"/>
        <v>459</v>
      </c>
      <c r="G141" s="117">
        <f>J141</f>
        <v>0</v>
      </c>
      <c r="H141" s="247">
        <f>N141</f>
        <v>459</v>
      </c>
      <c r="I141" s="117">
        <f t="shared" si="36"/>
        <v>459</v>
      </c>
      <c r="J141" s="117">
        <f>SUM(K141:M141)</f>
        <v>0</v>
      </c>
      <c r="K141" s="117"/>
      <c r="L141" s="117"/>
      <c r="M141" s="117"/>
      <c r="N141" s="117">
        <f t="shared" si="38"/>
        <v>459</v>
      </c>
      <c r="O141" s="117"/>
      <c r="P141" s="117"/>
      <c r="Q141" s="117"/>
      <c r="R141" s="247">
        <f>'[1]budżet 2009'!$N$608</f>
        <v>459</v>
      </c>
    </row>
    <row r="142" spans="2:18" s="138" customFormat="1" ht="12.75">
      <c r="B142" s="474"/>
      <c r="C142" s="78" t="s">
        <v>650</v>
      </c>
      <c r="D142" s="34"/>
      <c r="E142" s="252">
        <v>4269</v>
      </c>
      <c r="F142" s="117">
        <f t="shared" si="35"/>
        <v>81</v>
      </c>
      <c r="G142" s="117">
        <f>J142</f>
        <v>81</v>
      </c>
      <c r="H142" s="247">
        <f>N142</f>
        <v>0</v>
      </c>
      <c r="I142" s="117">
        <f t="shared" si="36"/>
        <v>81</v>
      </c>
      <c r="J142" s="117">
        <f>SUM(K142:M142)</f>
        <v>81</v>
      </c>
      <c r="K142" s="117"/>
      <c r="L142" s="117"/>
      <c r="M142" s="117">
        <f>'[1]budżet 2009'!$N$609</f>
        <v>81</v>
      </c>
      <c r="N142" s="117">
        <f t="shared" si="38"/>
        <v>0</v>
      </c>
      <c r="O142" s="117"/>
      <c r="P142" s="117"/>
      <c r="Q142" s="117"/>
      <c r="R142" s="247"/>
    </row>
    <row r="143" spans="2:18" s="138" customFormat="1" ht="33.75">
      <c r="B143" s="474"/>
      <c r="C143" s="78" t="s">
        <v>457</v>
      </c>
      <c r="D143" s="34"/>
      <c r="E143" s="252">
        <v>4378</v>
      </c>
      <c r="F143" s="117">
        <f t="shared" si="35"/>
        <v>0</v>
      </c>
      <c r="G143" s="117">
        <f>R143</f>
        <v>0</v>
      </c>
      <c r="H143" s="247">
        <f>N143</f>
        <v>0</v>
      </c>
      <c r="I143" s="117">
        <f t="shared" si="36"/>
        <v>0</v>
      </c>
      <c r="J143" s="117">
        <f t="shared" si="37"/>
        <v>0</v>
      </c>
      <c r="K143" s="117"/>
      <c r="L143" s="117"/>
      <c r="M143" s="117">
        <f>2!L643</f>
        <v>0</v>
      </c>
      <c r="N143" s="117">
        <f t="shared" si="38"/>
        <v>0</v>
      </c>
      <c r="O143" s="117"/>
      <c r="P143" s="117"/>
      <c r="Q143" s="117"/>
      <c r="R143" s="247"/>
    </row>
    <row r="144" spans="2:18" s="138" customFormat="1" ht="33.75">
      <c r="B144" s="474"/>
      <c r="C144" s="78" t="s">
        <v>457</v>
      </c>
      <c r="D144" s="34"/>
      <c r="E144" s="252">
        <v>4379</v>
      </c>
      <c r="F144" s="117">
        <f t="shared" si="35"/>
        <v>23000</v>
      </c>
      <c r="G144" s="117">
        <f>I144</f>
        <v>23000</v>
      </c>
      <c r="H144" s="247">
        <f>M144</f>
        <v>0</v>
      </c>
      <c r="I144" s="117">
        <f t="shared" si="36"/>
        <v>23000</v>
      </c>
      <c r="J144" s="117">
        <f t="shared" si="37"/>
        <v>0</v>
      </c>
      <c r="K144" s="117"/>
      <c r="L144" s="117"/>
      <c r="M144" s="117"/>
      <c r="N144" s="117">
        <f t="shared" si="38"/>
        <v>23000</v>
      </c>
      <c r="O144" s="117"/>
      <c r="P144" s="117"/>
      <c r="Q144" s="117"/>
      <c r="R144" s="247">
        <f>2!L644</f>
        <v>23000</v>
      </c>
    </row>
    <row r="145" spans="2:18" s="138" customFormat="1" ht="12.75">
      <c r="B145" s="474"/>
      <c r="C145" s="78" t="s">
        <v>362</v>
      </c>
      <c r="D145" s="34"/>
      <c r="E145" s="252">
        <v>4308</v>
      </c>
      <c r="F145" s="117">
        <f t="shared" si="35"/>
        <v>22256</v>
      </c>
      <c r="G145" s="117"/>
      <c r="H145" s="247">
        <f>N145</f>
        <v>22256</v>
      </c>
      <c r="I145" s="117">
        <f t="shared" si="36"/>
        <v>22256</v>
      </c>
      <c r="J145" s="117">
        <f t="shared" si="37"/>
        <v>0</v>
      </c>
      <c r="K145" s="117"/>
      <c r="L145" s="117"/>
      <c r="M145" s="117"/>
      <c r="N145" s="117">
        <f t="shared" si="38"/>
        <v>22256</v>
      </c>
      <c r="O145" s="117"/>
      <c r="P145" s="117"/>
      <c r="Q145" s="117"/>
      <c r="R145" s="247">
        <f>'[1]budżet 2009'!$N$610</f>
        <v>22256</v>
      </c>
    </row>
    <row r="146" spans="2:18" s="138" customFormat="1" ht="12.75">
      <c r="B146" s="474"/>
      <c r="C146" s="78" t="s">
        <v>362</v>
      </c>
      <c r="D146" s="34"/>
      <c r="E146" s="252">
        <v>4309</v>
      </c>
      <c r="F146" s="117">
        <f t="shared" si="35"/>
        <v>3927</v>
      </c>
      <c r="G146" s="117">
        <f>I146</f>
        <v>3927</v>
      </c>
      <c r="H146" s="247"/>
      <c r="I146" s="117">
        <f t="shared" si="36"/>
        <v>3927</v>
      </c>
      <c r="J146" s="117">
        <f t="shared" si="37"/>
        <v>3927</v>
      </c>
      <c r="K146" s="117"/>
      <c r="L146" s="117"/>
      <c r="M146" s="117">
        <f>'[1]budżet 2009'!$N$611</f>
        <v>3927</v>
      </c>
      <c r="N146" s="117">
        <f t="shared" si="38"/>
        <v>0</v>
      </c>
      <c r="O146" s="117"/>
      <c r="P146" s="117"/>
      <c r="Q146" s="117"/>
      <c r="R146" s="247"/>
    </row>
    <row r="147" spans="2:20" s="138" customFormat="1" ht="11.25">
      <c r="B147" s="474"/>
      <c r="C147" s="134" t="s">
        <v>19</v>
      </c>
      <c r="D147" s="136"/>
      <c r="E147" s="136"/>
      <c r="F147" s="135">
        <f>G147+H147</f>
        <v>148130</v>
      </c>
      <c r="G147" s="135">
        <f>SUM(G133:G146)</f>
        <v>41769</v>
      </c>
      <c r="H147" s="135">
        <f>SUM(H133:H146)</f>
        <v>106361</v>
      </c>
      <c r="I147" s="135">
        <f>J147+N147</f>
        <v>148130</v>
      </c>
      <c r="J147" s="135">
        <f>SUM(K147:M147)</f>
        <v>18769</v>
      </c>
      <c r="K147" s="135">
        <f>SUM(K133:K146)</f>
        <v>0</v>
      </c>
      <c r="L147" s="135">
        <f>SUM(L133:L146)</f>
        <v>0</v>
      </c>
      <c r="M147" s="135">
        <f>SUM(M133:M146)</f>
        <v>18769</v>
      </c>
      <c r="N147" s="135">
        <f>O147+P147+Q147+R147</f>
        <v>129361</v>
      </c>
      <c r="O147" s="135">
        <f>SUM(O133:O146)</f>
        <v>0</v>
      </c>
      <c r="P147" s="135">
        <f>SUM(P133:P146)</f>
        <v>0</v>
      </c>
      <c r="Q147" s="135">
        <f>SUM(Q133:Q146)</f>
        <v>0</v>
      </c>
      <c r="R147" s="135">
        <f>SUM(R133:R146)</f>
        <v>129361</v>
      </c>
      <c r="T147" s="367"/>
    </row>
    <row r="148" spans="2:18" s="138" customFormat="1" ht="11.25" customHeight="1">
      <c r="B148" s="474" t="s">
        <v>23</v>
      </c>
      <c r="C148" s="134" t="s">
        <v>262</v>
      </c>
      <c r="D148" s="476" t="s">
        <v>24</v>
      </c>
      <c r="E148" s="476"/>
      <c r="F148" s="476"/>
      <c r="G148" s="476"/>
      <c r="H148" s="476"/>
      <c r="I148" s="476"/>
      <c r="J148" s="476"/>
      <c r="K148" s="476"/>
      <c r="L148" s="476"/>
      <c r="M148" s="476"/>
      <c r="N148" s="476"/>
      <c r="O148" s="476"/>
      <c r="P148" s="476"/>
      <c r="Q148" s="476"/>
      <c r="R148" s="476"/>
    </row>
    <row r="149" spans="2:18" s="138" customFormat="1" ht="11.25" customHeight="1">
      <c r="B149" s="474"/>
      <c r="C149" s="134" t="s">
        <v>263</v>
      </c>
      <c r="D149" s="476"/>
      <c r="E149" s="476"/>
      <c r="F149" s="476"/>
      <c r="G149" s="476"/>
      <c r="H149" s="476"/>
      <c r="I149" s="476"/>
      <c r="J149" s="476"/>
      <c r="K149" s="476"/>
      <c r="L149" s="476"/>
      <c r="M149" s="476"/>
      <c r="N149" s="476"/>
      <c r="O149" s="476"/>
      <c r="P149" s="476"/>
      <c r="Q149" s="476"/>
      <c r="R149" s="476"/>
    </row>
    <row r="150" spans="2:18" s="138" customFormat="1" ht="11.25" customHeight="1">
      <c r="B150" s="474"/>
      <c r="C150" s="134" t="s">
        <v>264</v>
      </c>
      <c r="D150" s="476"/>
      <c r="E150" s="476"/>
      <c r="F150" s="476"/>
      <c r="G150" s="476"/>
      <c r="H150" s="476"/>
      <c r="I150" s="476"/>
      <c r="J150" s="476"/>
      <c r="K150" s="476"/>
      <c r="L150" s="476"/>
      <c r="M150" s="476"/>
      <c r="N150" s="476"/>
      <c r="O150" s="476"/>
      <c r="P150" s="476"/>
      <c r="Q150" s="476"/>
      <c r="R150" s="476"/>
    </row>
    <row r="151" spans="2:18" s="138" customFormat="1" ht="11.25" customHeight="1">
      <c r="B151" s="474"/>
      <c r="C151" s="134" t="s">
        <v>265</v>
      </c>
      <c r="D151" s="476"/>
      <c r="E151" s="476"/>
      <c r="F151" s="476"/>
      <c r="G151" s="476"/>
      <c r="H151" s="476"/>
      <c r="I151" s="476"/>
      <c r="J151" s="476"/>
      <c r="K151" s="476"/>
      <c r="L151" s="476"/>
      <c r="M151" s="476"/>
      <c r="N151" s="476"/>
      <c r="O151" s="476"/>
      <c r="P151" s="476"/>
      <c r="Q151" s="476"/>
      <c r="R151" s="476"/>
    </row>
    <row r="152" spans="2:18" s="138" customFormat="1" ht="12.75">
      <c r="B152" s="474"/>
      <c r="C152" s="266" t="s">
        <v>266</v>
      </c>
      <c r="D152" s="34"/>
      <c r="E152" s="140" t="s">
        <v>407</v>
      </c>
      <c r="F152" s="117">
        <f>F170+F171</f>
        <v>549648</v>
      </c>
      <c r="G152" s="117">
        <f aca="true" t="shared" si="39" ref="G152:R152">G170+G171</f>
        <v>46806</v>
      </c>
      <c r="H152" s="117">
        <f t="shared" si="39"/>
        <v>472820</v>
      </c>
      <c r="I152" s="117">
        <f t="shared" si="39"/>
        <v>361670</v>
      </c>
      <c r="J152" s="117">
        <f t="shared" si="39"/>
        <v>36237</v>
      </c>
      <c r="K152" s="117">
        <f t="shared" si="39"/>
        <v>0</v>
      </c>
      <c r="L152" s="117">
        <f t="shared" si="39"/>
        <v>0</v>
      </c>
      <c r="M152" s="117">
        <f t="shared" si="39"/>
        <v>36237</v>
      </c>
      <c r="N152" s="117">
        <f t="shared" si="39"/>
        <v>325433</v>
      </c>
      <c r="O152" s="117">
        <f t="shared" si="39"/>
        <v>0</v>
      </c>
      <c r="P152" s="117">
        <f t="shared" si="39"/>
        <v>0</v>
      </c>
      <c r="Q152" s="117">
        <f t="shared" si="39"/>
        <v>0</v>
      </c>
      <c r="R152" s="247">
        <f t="shared" si="39"/>
        <v>325433</v>
      </c>
    </row>
    <row r="153" spans="2:18" s="138" customFormat="1" ht="22.5">
      <c r="B153" s="474"/>
      <c r="C153" s="78" t="s">
        <v>453</v>
      </c>
      <c r="D153" s="34"/>
      <c r="E153" s="252">
        <v>4118</v>
      </c>
      <c r="F153" s="117">
        <f aca="true" t="shared" si="40" ref="F153:F169">G153+H153</f>
        <v>24719</v>
      </c>
      <c r="G153" s="117"/>
      <c r="H153" s="247">
        <f>R153</f>
        <v>24719</v>
      </c>
      <c r="I153" s="117">
        <f aca="true" t="shared" si="41" ref="I153:I169">J153+N153</f>
        <v>24719</v>
      </c>
      <c r="J153" s="117">
        <f aca="true" t="shared" si="42" ref="J153:J169">SUM(K153:M153)</f>
        <v>0</v>
      </c>
      <c r="K153" s="117"/>
      <c r="L153" s="117"/>
      <c r="M153" s="117"/>
      <c r="N153" s="117">
        <f aca="true" t="shared" si="43" ref="N153:N169">SUM(O153:R153)</f>
        <v>24719</v>
      </c>
      <c r="O153" s="117"/>
      <c r="P153" s="117"/>
      <c r="Q153" s="117"/>
      <c r="R153" s="247">
        <f>'[1]budżet 2009'!$N$582</f>
        <v>24719</v>
      </c>
    </row>
    <row r="154" spans="2:18" s="138" customFormat="1" ht="22.5">
      <c r="B154" s="474"/>
      <c r="C154" s="78" t="s">
        <v>453</v>
      </c>
      <c r="D154" s="34"/>
      <c r="E154" s="252">
        <v>4119</v>
      </c>
      <c r="F154" s="117">
        <f t="shared" si="40"/>
        <v>4362</v>
      </c>
      <c r="G154" s="117">
        <f>M154</f>
        <v>4362</v>
      </c>
      <c r="H154" s="247"/>
      <c r="I154" s="117">
        <f t="shared" si="41"/>
        <v>4362</v>
      </c>
      <c r="J154" s="117">
        <f t="shared" si="42"/>
        <v>4362</v>
      </c>
      <c r="K154" s="117"/>
      <c r="L154" s="117"/>
      <c r="M154" s="117">
        <f>'[1]budżet 2009'!$N$583</f>
        <v>4362</v>
      </c>
      <c r="N154" s="117">
        <f t="shared" si="43"/>
        <v>0</v>
      </c>
      <c r="O154" s="117"/>
      <c r="P154" s="117"/>
      <c r="Q154" s="117"/>
      <c r="R154" s="247"/>
    </row>
    <row r="155" spans="2:18" s="138" customFormat="1" ht="12.75">
      <c r="B155" s="474"/>
      <c r="C155" s="78" t="s">
        <v>455</v>
      </c>
      <c r="D155" s="34"/>
      <c r="E155" s="252">
        <v>4128</v>
      </c>
      <c r="F155" s="117">
        <f t="shared" si="40"/>
        <v>3948</v>
      </c>
      <c r="G155" s="117"/>
      <c r="H155" s="247">
        <f>R155</f>
        <v>3948</v>
      </c>
      <c r="I155" s="117">
        <f t="shared" si="41"/>
        <v>3948</v>
      </c>
      <c r="J155" s="117">
        <f t="shared" si="42"/>
        <v>0</v>
      </c>
      <c r="K155" s="117"/>
      <c r="L155" s="117"/>
      <c r="M155" s="117"/>
      <c r="N155" s="117">
        <f t="shared" si="43"/>
        <v>3948</v>
      </c>
      <c r="O155" s="117"/>
      <c r="P155" s="117"/>
      <c r="Q155" s="117"/>
      <c r="R155" s="247">
        <f>'[1]budżet 2009'!$N$584</f>
        <v>3948</v>
      </c>
    </row>
    <row r="156" spans="2:18" s="138" customFormat="1" ht="12.75">
      <c r="B156" s="474"/>
      <c r="C156" s="78" t="s">
        <v>455</v>
      </c>
      <c r="D156" s="34"/>
      <c r="E156" s="252">
        <v>4129</v>
      </c>
      <c r="F156" s="117">
        <f t="shared" si="40"/>
        <v>697</v>
      </c>
      <c r="G156" s="117">
        <f>M156</f>
        <v>697</v>
      </c>
      <c r="H156" s="247"/>
      <c r="I156" s="117">
        <f t="shared" si="41"/>
        <v>697</v>
      </c>
      <c r="J156" s="117">
        <f t="shared" si="42"/>
        <v>697</v>
      </c>
      <c r="K156" s="117"/>
      <c r="L156" s="117"/>
      <c r="M156" s="117">
        <f>'[1]budżet 2009'!$N$585</f>
        <v>697</v>
      </c>
      <c r="N156" s="117">
        <f t="shared" si="43"/>
        <v>0</v>
      </c>
      <c r="O156" s="117"/>
      <c r="P156" s="117"/>
      <c r="Q156" s="117"/>
      <c r="R156" s="247"/>
    </row>
    <row r="157" spans="2:18" s="138" customFormat="1" ht="22.5">
      <c r="B157" s="474"/>
      <c r="C157" s="78" t="s">
        <v>413</v>
      </c>
      <c r="D157" s="34"/>
      <c r="E157" s="252">
        <v>4178</v>
      </c>
      <c r="F157" s="117">
        <f t="shared" si="40"/>
        <v>170015</v>
      </c>
      <c r="G157" s="117"/>
      <c r="H157" s="247">
        <f>N157</f>
        <v>170015</v>
      </c>
      <c r="I157" s="117">
        <f t="shared" si="41"/>
        <v>170015</v>
      </c>
      <c r="J157" s="117">
        <f t="shared" si="42"/>
        <v>0</v>
      </c>
      <c r="K157" s="117"/>
      <c r="L157" s="117"/>
      <c r="M157" s="117"/>
      <c r="N157" s="117">
        <f t="shared" si="43"/>
        <v>170015</v>
      </c>
      <c r="O157" s="117"/>
      <c r="P157" s="117"/>
      <c r="Q157" s="117"/>
      <c r="R157" s="247">
        <f>'[1]budżet 2009'!$N$586</f>
        <v>170015</v>
      </c>
    </row>
    <row r="158" spans="2:18" s="138" customFormat="1" ht="22.5">
      <c r="B158" s="474"/>
      <c r="C158" s="78" t="s">
        <v>413</v>
      </c>
      <c r="D158" s="34"/>
      <c r="E158" s="252">
        <v>4179</v>
      </c>
      <c r="F158" s="117">
        <f t="shared" si="40"/>
        <v>19561</v>
      </c>
      <c r="G158" s="117">
        <f>J158</f>
        <v>19561</v>
      </c>
      <c r="H158" s="247"/>
      <c r="I158" s="117">
        <f t="shared" si="41"/>
        <v>19561</v>
      </c>
      <c r="J158" s="117">
        <f t="shared" si="42"/>
        <v>19561</v>
      </c>
      <c r="K158" s="117"/>
      <c r="L158" s="117"/>
      <c r="M158" s="117">
        <f>'[1]budżet 2009'!$N$587</f>
        <v>19561</v>
      </c>
      <c r="N158" s="117">
        <f t="shared" si="43"/>
        <v>0</v>
      </c>
      <c r="O158" s="117"/>
      <c r="P158" s="117"/>
      <c r="Q158" s="117"/>
      <c r="R158" s="247"/>
    </row>
    <row r="159" spans="2:18" s="138" customFormat="1" ht="22.5">
      <c r="B159" s="474"/>
      <c r="C159" s="78" t="s">
        <v>379</v>
      </c>
      <c r="D159" s="34"/>
      <c r="E159" s="252">
        <v>4218</v>
      </c>
      <c r="F159" s="117">
        <f t="shared" si="40"/>
        <v>38322</v>
      </c>
      <c r="G159" s="117"/>
      <c r="H159" s="247">
        <f>N159</f>
        <v>38322</v>
      </c>
      <c r="I159" s="117">
        <f t="shared" si="41"/>
        <v>38322</v>
      </c>
      <c r="J159" s="117">
        <f t="shared" si="42"/>
        <v>0</v>
      </c>
      <c r="K159" s="117"/>
      <c r="L159" s="117"/>
      <c r="M159" s="117"/>
      <c r="N159" s="117">
        <f t="shared" si="43"/>
        <v>38322</v>
      </c>
      <c r="O159" s="117"/>
      <c r="P159" s="117"/>
      <c r="Q159" s="117"/>
      <c r="R159" s="247">
        <f>'[1]budżet 2009'!$N$588</f>
        <v>38322</v>
      </c>
    </row>
    <row r="160" spans="2:18" s="138" customFormat="1" ht="22.5">
      <c r="B160" s="474"/>
      <c r="C160" s="78" t="s">
        <v>379</v>
      </c>
      <c r="D160" s="34"/>
      <c r="E160" s="252">
        <v>4219</v>
      </c>
      <c r="F160" s="117">
        <f t="shared" si="40"/>
        <v>6763</v>
      </c>
      <c r="G160" s="117">
        <f>I160</f>
        <v>6763</v>
      </c>
      <c r="H160" s="247"/>
      <c r="I160" s="117">
        <f t="shared" si="41"/>
        <v>6763</v>
      </c>
      <c r="J160" s="117">
        <f t="shared" si="42"/>
        <v>6763</v>
      </c>
      <c r="K160" s="117"/>
      <c r="L160" s="117"/>
      <c r="M160" s="117">
        <f>'[1]budżet 2009'!$N$589</f>
        <v>6763</v>
      </c>
      <c r="N160" s="117">
        <f t="shared" si="43"/>
        <v>0</v>
      </c>
      <c r="O160" s="117"/>
      <c r="P160" s="117"/>
      <c r="Q160" s="117"/>
      <c r="R160" s="247"/>
    </row>
    <row r="161" spans="2:18" s="138" customFormat="1" ht="33.75">
      <c r="B161" s="474"/>
      <c r="C161" s="368" t="s">
        <v>458</v>
      </c>
      <c r="D161" s="34"/>
      <c r="E161" s="252">
        <v>4758</v>
      </c>
      <c r="F161" s="117">
        <f t="shared" si="40"/>
        <v>3655</v>
      </c>
      <c r="G161" s="117"/>
      <c r="H161" s="247">
        <f>N161</f>
        <v>3655</v>
      </c>
      <c r="I161" s="117">
        <f t="shared" si="41"/>
        <v>3655</v>
      </c>
      <c r="J161" s="117">
        <f t="shared" si="42"/>
        <v>0</v>
      </c>
      <c r="K161" s="117"/>
      <c r="L161" s="117"/>
      <c r="M161" s="117"/>
      <c r="N161" s="117">
        <f t="shared" si="43"/>
        <v>3655</v>
      </c>
      <c r="O161" s="117"/>
      <c r="P161" s="117"/>
      <c r="Q161" s="117"/>
      <c r="R161" s="247">
        <f>'[1]budżet 2009'!$N$596</f>
        <v>3655</v>
      </c>
    </row>
    <row r="162" spans="2:18" s="138" customFormat="1" ht="33.75">
      <c r="B162" s="474"/>
      <c r="C162" s="368" t="s">
        <v>458</v>
      </c>
      <c r="D162" s="34"/>
      <c r="E162" s="252">
        <v>4759</v>
      </c>
      <c r="F162" s="117">
        <f t="shared" si="40"/>
        <v>645</v>
      </c>
      <c r="G162" s="117">
        <f>I162</f>
        <v>645</v>
      </c>
      <c r="H162" s="247"/>
      <c r="I162" s="117">
        <f t="shared" si="41"/>
        <v>645</v>
      </c>
      <c r="J162" s="117">
        <f t="shared" si="42"/>
        <v>645</v>
      </c>
      <c r="K162" s="117"/>
      <c r="L162" s="117"/>
      <c r="M162" s="117">
        <f>'[1]budżet 2009'!$N$597</f>
        <v>645</v>
      </c>
      <c r="N162" s="117">
        <f t="shared" si="43"/>
        <v>0</v>
      </c>
      <c r="O162" s="117"/>
      <c r="P162" s="117"/>
      <c r="Q162" s="117"/>
      <c r="R162" s="247"/>
    </row>
    <row r="163" spans="2:18" s="138" customFormat="1" ht="12.75">
      <c r="B163" s="474"/>
      <c r="C163" s="78" t="s">
        <v>362</v>
      </c>
      <c r="D163" s="34"/>
      <c r="E163" s="252">
        <v>4308</v>
      </c>
      <c r="F163" s="117">
        <f t="shared" si="40"/>
        <v>78372</v>
      </c>
      <c r="G163" s="117"/>
      <c r="H163" s="247">
        <f>N163</f>
        <v>78372</v>
      </c>
      <c r="I163" s="117">
        <f t="shared" si="41"/>
        <v>78372</v>
      </c>
      <c r="J163" s="117">
        <f t="shared" si="42"/>
        <v>0</v>
      </c>
      <c r="K163" s="117"/>
      <c r="L163" s="117"/>
      <c r="M163" s="117"/>
      <c r="N163" s="117">
        <f t="shared" si="43"/>
        <v>78372</v>
      </c>
      <c r="O163" s="117"/>
      <c r="P163" s="117"/>
      <c r="Q163" s="117"/>
      <c r="R163" s="247">
        <f>'[1]budżet 2009'!$N$590</f>
        <v>78372</v>
      </c>
    </row>
    <row r="164" spans="2:18" s="138" customFormat="1" ht="12.75">
      <c r="B164" s="474"/>
      <c r="C164" s="78" t="s">
        <v>362</v>
      </c>
      <c r="D164" s="34"/>
      <c r="E164" s="252">
        <v>4309</v>
      </c>
      <c r="F164" s="117">
        <f t="shared" si="40"/>
        <v>3080</v>
      </c>
      <c r="G164" s="117">
        <f>I164</f>
        <v>3080</v>
      </c>
      <c r="H164" s="247"/>
      <c r="I164" s="117">
        <f t="shared" si="41"/>
        <v>3080</v>
      </c>
      <c r="J164" s="117">
        <f t="shared" si="42"/>
        <v>3080</v>
      </c>
      <c r="K164" s="117"/>
      <c r="L164" s="117"/>
      <c r="M164" s="117">
        <f>'[1]budżet 2009'!$N$591</f>
        <v>3080</v>
      </c>
      <c r="N164" s="117">
        <f t="shared" si="43"/>
        <v>0</v>
      </c>
      <c r="O164" s="117"/>
      <c r="P164" s="117"/>
      <c r="Q164" s="117"/>
      <c r="R164" s="247"/>
    </row>
    <row r="165" spans="2:18" s="138" customFormat="1" ht="22.5">
      <c r="B165" s="474"/>
      <c r="C165" s="78" t="s">
        <v>41</v>
      </c>
      <c r="D165" s="34"/>
      <c r="E165" s="252" t="s">
        <v>222</v>
      </c>
      <c r="F165" s="117">
        <v>21192</v>
      </c>
      <c r="G165" s="117" t="str">
        <f>I165</f>
        <v>x</v>
      </c>
      <c r="H165" s="247"/>
      <c r="I165" s="117" t="s">
        <v>222</v>
      </c>
      <c r="J165" s="117" t="s">
        <v>222</v>
      </c>
      <c r="K165" s="117"/>
      <c r="L165" s="117"/>
      <c r="M165" s="117"/>
      <c r="N165" s="117"/>
      <c r="O165" s="117"/>
      <c r="P165" s="117"/>
      <c r="Q165" s="117"/>
      <c r="R165" s="247"/>
    </row>
    <row r="166" spans="2:18" s="138" customFormat="1" ht="45">
      <c r="B166" s="474"/>
      <c r="C166" s="78" t="s">
        <v>416</v>
      </c>
      <c r="D166" s="34"/>
      <c r="E166" s="252">
        <v>4748</v>
      </c>
      <c r="F166" s="117">
        <f t="shared" si="40"/>
        <v>5663</v>
      </c>
      <c r="G166" s="117"/>
      <c r="H166" s="247">
        <f>N166</f>
        <v>5663</v>
      </c>
      <c r="I166" s="117">
        <f t="shared" si="41"/>
        <v>5663</v>
      </c>
      <c r="J166" s="117">
        <f t="shared" si="42"/>
        <v>0</v>
      </c>
      <c r="K166" s="117"/>
      <c r="L166" s="117"/>
      <c r="M166" s="117"/>
      <c r="N166" s="117">
        <f t="shared" si="43"/>
        <v>5663</v>
      </c>
      <c r="O166" s="117"/>
      <c r="P166" s="117"/>
      <c r="Q166" s="117"/>
      <c r="R166" s="247">
        <f>'[1]budżet 2009'!$N$594</f>
        <v>5663</v>
      </c>
    </row>
    <row r="167" spans="2:18" s="138" customFormat="1" ht="45">
      <c r="B167" s="474"/>
      <c r="C167" s="78" t="s">
        <v>416</v>
      </c>
      <c r="D167" s="34"/>
      <c r="E167" s="252">
        <v>4749</v>
      </c>
      <c r="F167" s="117">
        <f t="shared" si="40"/>
        <v>999</v>
      </c>
      <c r="G167" s="117">
        <f>I167</f>
        <v>999</v>
      </c>
      <c r="H167" s="247"/>
      <c r="I167" s="117">
        <f t="shared" si="41"/>
        <v>999</v>
      </c>
      <c r="J167" s="117">
        <f t="shared" si="42"/>
        <v>999</v>
      </c>
      <c r="K167" s="117"/>
      <c r="L167" s="117"/>
      <c r="M167" s="117">
        <f>'[1]budżet 2009'!$N$595</f>
        <v>999</v>
      </c>
      <c r="N167" s="117">
        <f t="shared" si="43"/>
        <v>0</v>
      </c>
      <c r="O167" s="117"/>
      <c r="P167" s="117"/>
      <c r="Q167" s="117"/>
      <c r="R167" s="247"/>
    </row>
    <row r="168" spans="2:18" s="138" customFormat="1" ht="22.5">
      <c r="B168" s="474"/>
      <c r="C168" s="78" t="s">
        <v>42</v>
      </c>
      <c r="D168" s="34"/>
      <c r="E168" s="252">
        <v>4358</v>
      </c>
      <c r="F168" s="117">
        <f t="shared" si="40"/>
        <v>739</v>
      </c>
      <c r="G168" s="117"/>
      <c r="H168" s="247">
        <f>N168</f>
        <v>739</v>
      </c>
      <c r="I168" s="117">
        <f t="shared" si="41"/>
        <v>739</v>
      </c>
      <c r="J168" s="117">
        <f t="shared" si="42"/>
        <v>0</v>
      </c>
      <c r="K168" s="117"/>
      <c r="L168" s="117"/>
      <c r="M168" s="117"/>
      <c r="N168" s="117">
        <f t="shared" si="43"/>
        <v>739</v>
      </c>
      <c r="O168" s="117"/>
      <c r="P168" s="117"/>
      <c r="Q168" s="117"/>
      <c r="R168" s="247">
        <f>'[1]budżet 2009'!$N$592</f>
        <v>739</v>
      </c>
    </row>
    <row r="169" spans="2:18" s="138" customFormat="1" ht="22.5">
      <c r="B169" s="474"/>
      <c r="C169" s="78" t="s">
        <v>42</v>
      </c>
      <c r="D169" s="34"/>
      <c r="E169" s="252">
        <v>4359</v>
      </c>
      <c r="F169" s="117">
        <f t="shared" si="40"/>
        <v>130</v>
      </c>
      <c r="G169" s="117">
        <f>I169</f>
        <v>130</v>
      </c>
      <c r="H169" s="247"/>
      <c r="I169" s="117">
        <f t="shared" si="41"/>
        <v>130</v>
      </c>
      <c r="J169" s="117">
        <f t="shared" si="42"/>
        <v>130</v>
      </c>
      <c r="K169" s="117"/>
      <c r="L169" s="117"/>
      <c r="M169" s="117">
        <f>'[1]budżet 2009'!$N$593</f>
        <v>130</v>
      </c>
      <c r="N169" s="117">
        <f t="shared" si="43"/>
        <v>0</v>
      </c>
      <c r="O169" s="117"/>
      <c r="P169" s="117"/>
      <c r="Q169" s="117"/>
      <c r="R169" s="247"/>
    </row>
    <row r="170" spans="2:20" s="138" customFormat="1" ht="11.25">
      <c r="B170" s="474"/>
      <c r="C170" s="134">
        <v>2009</v>
      </c>
      <c r="D170" s="136"/>
      <c r="E170" s="136"/>
      <c r="F170" s="135">
        <f>G170+H170+F165</f>
        <v>382862</v>
      </c>
      <c r="G170" s="135">
        <f>SUM(G153:G169)</f>
        <v>36237</v>
      </c>
      <c r="H170" s="135">
        <f>SUM(H153:H169)</f>
        <v>325433</v>
      </c>
      <c r="I170" s="135">
        <f>J170+N170</f>
        <v>361670</v>
      </c>
      <c r="J170" s="135">
        <f>SUM(K170:M170)</f>
        <v>36237</v>
      </c>
      <c r="K170" s="135">
        <f>SUM(K153:K169)</f>
        <v>0</v>
      </c>
      <c r="L170" s="135">
        <f>SUM(L153:L169)</f>
        <v>0</v>
      </c>
      <c r="M170" s="135">
        <f>SUM(M153:M169)</f>
        <v>36237</v>
      </c>
      <c r="N170" s="135">
        <f>O170+P170+Q170+R170</f>
        <v>325433</v>
      </c>
      <c r="O170" s="135">
        <f>SUM(O153:O169)</f>
        <v>0</v>
      </c>
      <c r="P170" s="135">
        <f>SUM(P153:P169)</f>
        <v>0</v>
      </c>
      <c r="Q170" s="135">
        <f>SUM(Q153:Q169)</f>
        <v>0</v>
      </c>
      <c r="R170" s="135">
        <f>SUM(R153:R169)</f>
        <v>325433</v>
      </c>
      <c r="T170" s="367"/>
    </row>
    <row r="171" spans="2:18" s="138" customFormat="1" ht="11.25">
      <c r="B171" s="474"/>
      <c r="C171" s="134">
        <v>2010</v>
      </c>
      <c r="D171" s="136"/>
      <c r="E171" s="136"/>
      <c r="F171" s="135">
        <f>G171+H171+8830</f>
        <v>166786</v>
      </c>
      <c r="G171" s="135">
        <v>10569</v>
      </c>
      <c r="H171" s="133">
        <f>166786-10569-8830</f>
        <v>147387</v>
      </c>
      <c r="I171" s="135"/>
      <c r="J171" s="135"/>
      <c r="K171" s="136"/>
      <c r="L171" s="136"/>
      <c r="M171" s="242"/>
      <c r="N171" s="135"/>
      <c r="O171" s="136"/>
      <c r="P171" s="136"/>
      <c r="Q171" s="136"/>
      <c r="R171" s="136"/>
    </row>
    <row r="172" spans="2:18" s="138" customFormat="1" ht="11.25" customHeight="1">
      <c r="B172" s="474" t="s">
        <v>43</v>
      </c>
      <c r="C172" s="134" t="s">
        <v>262</v>
      </c>
      <c r="D172" s="476" t="s">
        <v>52</v>
      </c>
      <c r="E172" s="476"/>
      <c r="F172" s="476"/>
      <c r="G172" s="476"/>
      <c r="H172" s="476"/>
      <c r="I172" s="476"/>
      <c r="J172" s="476"/>
      <c r="K172" s="476"/>
      <c r="L172" s="476"/>
      <c r="M172" s="476"/>
      <c r="N172" s="476"/>
      <c r="O172" s="476"/>
      <c r="P172" s="476"/>
      <c r="Q172" s="476"/>
      <c r="R172" s="476"/>
    </row>
    <row r="173" spans="2:18" s="138" customFormat="1" ht="11.25" customHeight="1">
      <c r="B173" s="474"/>
      <c r="C173" s="134" t="s">
        <v>263</v>
      </c>
      <c r="D173" s="476"/>
      <c r="E173" s="476"/>
      <c r="F173" s="476"/>
      <c r="G173" s="476"/>
      <c r="H173" s="476"/>
      <c r="I173" s="476"/>
      <c r="J173" s="476"/>
      <c r="K173" s="476"/>
      <c r="L173" s="476"/>
      <c r="M173" s="476"/>
      <c r="N173" s="476"/>
      <c r="O173" s="476"/>
      <c r="P173" s="476"/>
      <c r="Q173" s="476"/>
      <c r="R173" s="476"/>
    </row>
    <row r="174" spans="2:18" s="138" customFormat="1" ht="11.25" customHeight="1">
      <c r="B174" s="474"/>
      <c r="C174" s="134" t="s">
        <v>264</v>
      </c>
      <c r="D174" s="476"/>
      <c r="E174" s="476"/>
      <c r="F174" s="476"/>
      <c r="G174" s="476"/>
      <c r="H174" s="476"/>
      <c r="I174" s="476"/>
      <c r="J174" s="476"/>
      <c r="K174" s="476"/>
      <c r="L174" s="476"/>
      <c r="M174" s="476"/>
      <c r="N174" s="476"/>
      <c r="O174" s="476"/>
      <c r="P174" s="476"/>
      <c r="Q174" s="476"/>
      <c r="R174" s="476"/>
    </row>
    <row r="175" spans="2:18" s="138" customFormat="1" ht="11.25" customHeight="1">
      <c r="B175" s="474"/>
      <c r="C175" s="134" t="s">
        <v>265</v>
      </c>
      <c r="D175" s="476"/>
      <c r="E175" s="476"/>
      <c r="F175" s="476"/>
      <c r="G175" s="476"/>
      <c r="H175" s="476"/>
      <c r="I175" s="476"/>
      <c r="J175" s="476"/>
      <c r="K175" s="476"/>
      <c r="L175" s="476"/>
      <c r="M175" s="476"/>
      <c r="N175" s="476"/>
      <c r="O175" s="476"/>
      <c r="P175" s="476"/>
      <c r="Q175" s="476"/>
      <c r="R175" s="476"/>
    </row>
    <row r="176" spans="2:18" s="138" customFormat="1" ht="12.75">
      <c r="B176" s="474"/>
      <c r="C176" s="266" t="s">
        <v>266</v>
      </c>
      <c r="D176" s="34"/>
      <c r="E176" s="140" t="s">
        <v>45</v>
      </c>
      <c r="F176" s="117">
        <f>F193+F194</f>
        <v>536118</v>
      </c>
      <c r="G176" s="117">
        <f aca="true" t="shared" si="44" ref="G176:R176">G193+G194</f>
        <v>80418</v>
      </c>
      <c r="H176" s="117">
        <f t="shared" si="44"/>
        <v>455700</v>
      </c>
      <c r="I176" s="117">
        <f t="shared" si="44"/>
        <v>478252</v>
      </c>
      <c r="J176" s="117">
        <f t="shared" si="44"/>
        <v>71738</v>
      </c>
      <c r="K176" s="117">
        <f t="shared" si="44"/>
        <v>0</v>
      </c>
      <c r="L176" s="117">
        <f t="shared" si="44"/>
        <v>0</v>
      </c>
      <c r="M176" s="117">
        <f t="shared" si="44"/>
        <v>71738</v>
      </c>
      <c r="N176" s="117">
        <f t="shared" si="44"/>
        <v>406514</v>
      </c>
      <c r="O176" s="117">
        <f t="shared" si="44"/>
        <v>0</v>
      </c>
      <c r="P176" s="117">
        <f t="shared" si="44"/>
        <v>0</v>
      </c>
      <c r="Q176" s="117">
        <f t="shared" si="44"/>
        <v>0</v>
      </c>
      <c r="R176" s="247">
        <f t="shared" si="44"/>
        <v>406514</v>
      </c>
    </row>
    <row r="177" spans="2:18" s="138" customFormat="1" ht="22.5">
      <c r="B177" s="474"/>
      <c r="C177" s="78" t="s">
        <v>453</v>
      </c>
      <c r="D177" s="34"/>
      <c r="E177" s="252">
        <v>4118</v>
      </c>
      <c r="F177" s="117">
        <f aca="true" t="shared" si="45" ref="F177:F188">G177+H177</f>
        <v>14527</v>
      </c>
      <c r="G177" s="117"/>
      <c r="H177" s="247">
        <f>R177</f>
        <v>14527</v>
      </c>
      <c r="I177" s="117">
        <f aca="true" t="shared" si="46" ref="I177:I188">J177+N177</f>
        <v>14527</v>
      </c>
      <c r="J177" s="117">
        <f aca="true" t="shared" si="47" ref="J177:J188">SUM(K177:M177)</f>
        <v>0</v>
      </c>
      <c r="K177" s="117"/>
      <c r="L177" s="117"/>
      <c r="M177" s="117"/>
      <c r="N177" s="117">
        <f aca="true" t="shared" si="48" ref="N177:N188">SUM(O177:R177)</f>
        <v>14527</v>
      </c>
      <c r="O177" s="117"/>
      <c r="P177" s="117"/>
      <c r="Q177" s="117"/>
      <c r="R177" s="247">
        <f>'[1]budżet 2009'!$N$619</f>
        <v>14527</v>
      </c>
    </row>
    <row r="178" spans="2:18" s="138" customFormat="1" ht="22.5">
      <c r="B178" s="474"/>
      <c r="C178" s="78" t="s">
        <v>453</v>
      </c>
      <c r="D178" s="34"/>
      <c r="E178" s="252">
        <v>4119</v>
      </c>
      <c r="F178" s="117">
        <f t="shared" si="45"/>
        <v>2564</v>
      </c>
      <c r="G178" s="117">
        <f>M178</f>
        <v>2564</v>
      </c>
      <c r="H178" s="247"/>
      <c r="I178" s="117">
        <f t="shared" si="46"/>
        <v>2564</v>
      </c>
      <c r="J178" s="117">
        <f t="shared" si="47"/>
        <v>2564</v>
      </c>
      <c r="K178" s="117"/>
      <c r="L178" s="117"/>
      <c r="M178" s="117">
        <f>'[1]budżet 2009'!$N$620</f>
        <v>2564</v>
      </c>
      <c r="N178" s="117">
        <f t="shared" si="48"/>
        <v>0</v>
      </c>
      <c r="O178" s="117"/>
      <c r="P178" s="117"/>
      <c r="Q178" s="117"/>
      <c r="R178" s="247"/>
    </row>
    <row r="179" spans="2:18" s="138" customFormat="1" ht="12.75">
      <c r="B179" s="474"/>
      <c r="C179" s="78" t="s">
        <v>455</v>
      </c>
      <c r="D179" s="34"/>
      <c r="E179" s="252">
        <v>4128</v>
      </c>
      <c r="F179" s="117">
        <f t="shared" si="45"/>
        <v>2320</v>
      </c>
      <c r="G179" s="117"/>
      <c r="H179" s="247">
        <f>R179</f>
        <v>2320</v>
      </c>
      <c r="I179" s="117">
        <f t="shared" si="46"/>
        <v>2320</v>
      </c>
      <c r="J179" s="117">
        <f t="shared" si="47"/>
        <v>0</v>
      </c>
      <c r="K179" s="117"/>
      <c r="L179" s="117"/>
      <c r="M179" s="117"/>
      <c r="N179" s="117">
        <f t="shared" si="48"/>
        <v>2320</v>
      </c>
      <c r="O179" s="117"/>
      <c r="P179" s="117"/>
      <c r="Q179" s="117"/>
      <c r="R179" s="247">
        <f>'[1]budżet 2009'!$N$621</f>
        <v>2320</v>
      </c>
    </row>
    <row r="180" spans="2:18" s="138" customFormat="1" ht="12.75">
      <c r="B180" s="474"/>
      <c r="C180" s="78" t="s">
        <v>455</v>
      </c>
      <c r="D180" s="34"/>
      <c r="E180" s="252">
        <v>4129</v>
      </c>
      <c r="F180" s="117">
        <f t="shared" si="45"/>
        <v>410</v>
      </c>
      <c r="G180" s="117">
        <f>M180</f>
        <v>410</v>
      </c>
      <c r="H180" s="247"/>
      <c r="I180" s="117">
        <f t="shared" si="46"/>
        <v>410</v>
      </c>
      <c r="J180" s="117">
        <f t="shared" si="47"/>
        <v>410</v>
      </c>
      <c r="K180" s="117"/>
      <c r="L180" s="117"/>
      <c r="M180" s="117">
        <f>'[1]budżet 2009'!$N$622</f>
        <v>410</v>
      </c>
      <c r="N180" s="117">
        <f t="shared" si="48"/>
        <v>0</v>
      </c>
      <c r="O180" s="117"/>
      <c r="P180" s="117"/>
      <c r="Q180" s="117"/>
      <c r="R180" s="247"/>
    </row>
    <row r="181" spans="2:18" s="138" customFormat="1" ht="22.5">
      <c r="B181" s="474"/>
      <c r="C181" s="78" t="s">
        <v>413</v>
      </c>
      <c r="D181" s="34"/>
      <c r="E181" s="252">
        <v>4178</v>
      </c>
      <c r="F181" s="117">
        <f t="shared" si="45"/>
        <v>104053</v>
      </c>
      <c r="G181" s="117"/>
      <c r="H181" s="247">
        <f>N181</f>
        <v>104053</v>
      </c>
      <c r="I181" s="117">
        <f t="shared" si="46"/>
        <v>104053</v>
      </c>
      <c r="J181" s="117">
        <f t="shared" si="47"/>
        <v>0</v>
      </c>
      <c r="K181" s="117"/>
      <c r="L181" s="117"/>
      <c r="M181" s="117"/>
      <c r="N181" s="117">
        <f t="shared" si="48"/>
        <v>104053</v>
      </c>
      <c r="O181" s="117"/>
      <c r="P181" s="117"/>
      <c r="Q181" s="117"/>
      <c r="R181" s="247">
        <f>'[1]budżet 2009'!$N$623</f>
        <v>104053</v>
      </c>
    </row>
    <row r="182" spans="2:18" s="138" customFormat="1" ht="22.5">
      <c r="B182" s="474"/>
      <c r="C182" s="78" t="s">
        <v>413</v>
      </c>
      <c r="D182" s="34"/>
      <c r="E182" s="252">
        <v>4179</v>
      </c>
      <c r="F182" s="117">
        <f t="shared" si="45"/>
        <v>18362</v>
      </c>
      <c r="G182" s="117">
        <f>J182</f>
        <v>18362</v>
      </c>
      <c r="H182" s="247"/>
      <c r="I182" s="117">
        <f t="shared" si="46"/>
        <v>18362</v>
      </c>
      <c r="J182" s="117">
        <f t="shared" si="47"/>
        <v>18362</v>
      </c>
      <c r="K182" s="117"/>
      <c r="L182" s="117"/>
      <c r="M182" s="117">
        <f>'[1]budżet 2009'!$N$624</f>
        <v>18362</v>
      </c>
      <c r="N182" s="117">
        <f t="shared" si="48"/>
        <v>0</v>
      </c>
      <c r="O182" s="117"/>
      <c r="P182" s="117"/>
      <c r="Q182" s="117"/>
      <c r="R182" s="247"/>
    </row>
    <row r="183" spans="2:18" s="138" customFormat="1" ht="22.5">
      <c r="B183" s="474"/>
      <c r="C183" s="78" t="s">
        <v>379</v>
      </c>
      <c r="D183" s="34"/>
      <c r="E183" s="252">
        <v>4218</v>
      </c>
      <c r="F183" s="117">
        <f t="shared" si="45"/>
        <v>7068</v>
      </c>
      <c r="G183" s="117"/>
      <c r="H183" s="247">
        <f>N183</f>
        <v>7068</v>
      </c>
      <c r="I183" s="117">
        <f t="shared" si="46"/>
        <v>7068</v>
      </c>
      <c r="J183" s="117">
        <f t="shared" si="47"/>
        <v>0</v>
      </c>
      <c r="K183" s="117"/>
      <c r="L183" s="117"/>
      <c r="M183" s="117"/>
      <c r="N183" s="117">
        <f t="shared" si="48"/>
        <v>7068</v>
      </c>
      <c r="O183" s="117"/>
      <c r="P183" s="117"/>
      <c r="Q183" s="117"/>
      <c r="R183" s="247">
        <f>'[1]budżet 2009'!$N$625</f>
        <v>7068</v>
      </c>
    </row>
    <row r="184" spans="2:18" s="138" customFormat="1" ht="22.5">
      <c r="B184" s="474"/>
      <c r="C184" s="78" t="s">
        <v>379</v>
      </c>
      <c r="D184" s="34"/>
      <c r="E184" s="252">
        <v>4219</v>
      </c>
      <c r="F184" s="117">
        <f t="shared" si="45"/>
        <v>1247</v>
      </c>
      <c r="G184" s="117">
        <f>I184</f>
        <v>1247</v>
      </c>
      <c r="H184" s="247"/>
      <c r="I184" s="117">
        <f t="shared" si="46"/>
        <v>1247</v>
      </c>
      <c r="J184" s="117">
        <f t="shared" si="47"/>
        <v>1247</v>
      </c>
      <c r="K184" s="117"/>
      <c r="L184" s="117"/>
      <c r="M184" s="117">
        <f>'[1]budżet 2009'!$N$626</f>
        <v>1247</v>
      </c>
      <c r="N184" s="117">
        <f t="shared" si="48"/>
        <v>0</v>
      </c>
      <c r="O184" s="117"/>
      <c r="P184" s="117"/>
      <c r="Q184" s="117"/>
      <c r="R184" s="247"/>
    </row>
    <row r="185" spans="2:18" s="138" customFormat="1" ht="33.75">
      <c r="B185" s="474"/>
      <c r="C185" s="368" t="s">
        <v>458</v>
      </c>
      <c r="D185" s="34"/>
      <c r="E185" s="252">
        <v>4758</v>
      </c>
      <c r="F185" s="117">
        <f t="shared" si="45"/>
        <v>0</v>
      </c>
      <c r="G185" s="117"/>
      <c r="H185" s="247">
        <f>N185</f>
        <v>0</v>
      </c>
      <c r="I185" s="117">
        <f t="shared" si="46"/>
        <v>0</v>
      </c>
      <c r="J185" s="117">
        <f t="shared" si="47"/>
        <v>0</v>
      </c>
      <c r="K185" s="117"/>
      <c r="L185" s="117"/>
      <c r="M185" s="117"/>
      <c r="N185" s="117">
        <f t="shared" si="48"/>
        <v>0</v>
      </c>
      <c r="O185" s="117"/>
      <c r="P185" s="117"/>
      <c r="Q185" s="117"/>
      <c r="R185" s="247"/>
    </row>
    <row r="186" spans="2:18" s="138" customFormat="1" ht="33.75">
      <c r="B186" s="474"/>
      <c r="C186" s="368" t="s">
        <v>458</v>
      </c>
      <c r="D186" s="34"/>
      <c r="E186" s="252">
        <v>4759</v>
      </c>
      <c r="F186" s="117">
        <f t="shared" si="45"/>
        <v>0</v>
      </c>
      <c r="G186" s="117">
        <f>I186</f>
        <v>0</v>
      </c>
      <c r="H186" s="247"/>
      <c r="I186" s="117">
        <f t="shared" si="46"/>
        <v>0</v>
      </c>
      <c r="J186" s="117">
        <f t="shared" si="47"/>
        <v>0</v>
      </c>
      <c r="K186" s="117"/>
      <c r="L186" s="117"/>
      <c r="M186" s="117"/>
      <c r="N186" s="117">
        <f t="shared" si="48"/>
        <v>0</v>
      </c>
      <c r="O186" s="117"/>
      <c r="P186" s="117"/>
      <c r="Q186" s="117"/>
      <c r="R186" s="247"/>
    </row>
    <row r="187" spans="2:18" s="138" customFormat="1" ht="12.75">
      <c r="B187" s="474"/>
      <c r="C187" s="78" t="s">
        <v>362</v>
      </c>
      <c r="D187" s="34"/>
      <c r="E187" s="252">
        <v>4308</v>
      </c>
      <c r="F187" s="117">
        <f t="shared" si="45"/>
        <v>274840</v>
      </c>
      <c r="G187" s="117"/>
      <c r="H187" s="247">
        <f>N187</f>
        <v>274840</v>
      </c>
      <c r="I187" s="117">
        <f t="shared" si="46"/>
        <v>274840</v>
      </c>
      <c r="J187" s="117">
        <f t="shared" si="47"/>
        <v>0</v>
      </c>
      <c r="K187" s="117"/>
      <c r="L187" s="117"/>
      <c r="M187" s="117"/>
      <c r="N187" s="117">
        <f t="shared" si="48"/>
        <v>274840</v>
      </c>
      <c r="O187" s="117"/>
      <c r="P187" s="117"/>
      <c r="Q187" s="117"/>
      <c r="R187" s="247">
        <f>'[1]budżet 2009'!$N$627</f>
        <v>274840</v>
      </c>
    </row>
    <row r="188" spans="2:18" s="138" customFormat="1" ht="12.75">
      <c r="B188" s="474"/>
      <c r="C188" s="78" t="s">
        <v>362</v>
      </c>
      <c r="D188" s="34"/>
      <c r="E188" s="252">
        <v>4309</v>
      </c>
      <c r="F188" s="117">
        <f t="shared" si="45"/>
        <v>48501</v>
      </c>
      <c r="G188" s="117">
        <f>I188</f>
        <v>48501</v>
      </c>
      <c r="H188" s="247"/>
      <c r="I188" s="117">
        <f t="shared" si="46"/>
        <v>48501</v>
      </c>
      <c r="J188" s="117">
        <f t="shared" si="47"/>
        <v>48501</v>
      </c>
      <c r="K188" s="117"/>
      <c r="L188" s="117"/>
      <c r="M188" s="117">
        <f>'[1]budżet 2009'!$N$628</f>
        <v>48501</v>
      </c>
      <c r="N188" s="117">
        <f t="shared" si="48"/>
        <v>0</v>
      </c>
      <c r="O188" s="117"/>
      <c r="P188" s="117"/>
      <c r="Q188" s="117"/>
      <c r="R188" s="247"/>
    </row>
    <row r="189" spans="2:18" s="138" customFormat="1" ht="33.75">
      <c r="B189" s="474"/>
      <c r="C189" s="78" t="s">
        <v>457</v>
      </c>
      <c r="D189" s="34"/>
      <c r="E189" s="252">
        <v>4378</v>
      </c>
      <c r="F189" s="117">
        <f aca="true" t="shared" si="49" ref="F189:F194">G189+H189</f>
        <v>1850</v>
      </c>
      <c r="G189" s="117"/>
      <c r="H189" s="247">
        <f>N189</f>
        <v>1850</v>
      </c>
      <c r="I189" s="117">
        <f>J189+N189</f>
        <v>1850</v>
      </c>
      <c r="J189" s="117">
        <f>SUM(K189:M189)</f>
        <v>0</v>
      </c>
      <c r="K189" s="117"/>
      <c r="L189" s="117"/>
      <c r="M189" s="117"/>
      <c r="N189" s="117">
        <f>SUM(O189:R189)</f>
        <v>1850</v>
      </c>
      <c r="O189" s="117"/>
      <c r="P189" s="117"/>
      <c r="Q189" s="117"/>
      <c r="R189" s="247">
        <f>'[1]budżet 2009'!$N$629</f>
        <v>1850</v>
      </c>
    </row>
    <row r="190" spans="2:18" s="138" customFormat="1" ht="33.75">
      <c r="B190" s="474"/>
      <c r="C190" s="78" t="s">
        <v>457</v>
      </c>
      <c r="D190" s="34"/>
      <c r="E190" s="252">
        <v>4379</v>
      </c>
      <c r="F190" s="117">
        <f t="shared" si="49"/>
        <v>326</v>
      </c>
      <c r="G190" s="117">
        <f>I190</f>
        <v>326</v>
      </c>
      <c r="H190" s="247"/>
      <c r="I190" s="117">
        <f>J190+N190</f>
        <v>326</v>
      </c>
      <c r="J190" s="117">
        <f>SUM(K190:M190)</f>
        <v>326</v>
      </c>
      <c r="K190" s="117"/>
      <c r="L190" s="117"/>
      <c r="M190" s="117">
        <f>'[1]budżet 2009'!$N$630</f>
        <v>326</v>
      </c>
      <c r="N190" s="117">
        <f>SUM(O190:R190)</f>
        <v>0</v>
      </c>
      <c r="O190" s="117"/>
      <c r="P190" s="117"/>
      <c r="Q190" s="117"/>
      <c r="R190" s="247"/>
    </row>
    <row r="191" spans="2:18" s="138" customFormat="1" ht="22.5">
      <c r="B191" s="474"/>
      <c r="C191" s="382" t="s">
        <v>388</v>
      </c>
      <c r="D191" s="34"/>
      <c r="E191" s="252">
        <v>4418</v>
      </c>
      <c r="F191" s="117">
        <f t="shared" si="49"/>
        <v>1856</v>
      </c>
      <c r="G191" s="117"/>
      <c r="H191" s="247">
        <f>N191</f>
        <v>1856</v>
      </c>
      <c r="I191" s="117">
        <f>J191+N191</f>
        <v>1856</v>
      </c>
      <c r="J191" s="117">
        <f>SUM(K191:M191)</f>
        <v>0</v>
      </c>
      <c r="K191" s="117"/>
      <c r="L191" s="117"/>
      <c r="M191" s="117"/>
      <c r="N191" s="117">
        <f>SUM(O191:R191)</f>
        <v>1856</v>
      </c>
      <c r="O191" s="117"/>
      <c r="P191" s="117"/>
      <c r="Q191" s="117"/>
      <c r="R191" s="247">
        <f>'[1]budżet 2009'!$N$631</f>
        <v>1856</v>
      </c>
    </row>
    <row r="192" spans="2:18" s="138" customFormat="1" ht="22.5">
      <c r="B192" s="474"/>
      <c r="C192" s="382" t="s">
        <v>388</v>
      </c>
      <c r="D192" s="34"/>
      <c r="E192" s="252">
        <v>4419</v>
      </c>
      <c r="F192" s="117">
        <f t="shared" si="49"/>
        <v>328</v>
      </c>
      <c r="G192" s="117">
        <f>I192</f>
        <v>328</v>
      </c>
      <c r="H192" s="247"/>
      <c r="I192" s="117">
        <f>J192+N192</f>
        <v>328</v>
      </c>
      <c r="J192" s="117">
        <f>SUM(K192:M192)</f>
        <v>328</v>
      </c>
      <c r="K192" s="117"/>
      <c r="L192" s="117"/>
      <c r="M192" s="117">
        <f>'[1]budżet 2009'!$N$632</f>
        <v>328</v>
      </c>
      <c r="N192" s="117">
        <f>SUM(O192:R192)</f>
        <v>0</v>
      </c>
      <c r="O192" s="117"/>
      <c r="P192" s="117"/>
      <c r="Q192" s="117"/>
      <c r="R192" s="247"/>
    </row>
    <row r="193" spans="2:20" s="138" customFormat="1" ht="11.25">
      <c r="B193" s="474"/>
      <c r="C193" s="134">
        <v>2009</v>
      </c>
      <c r="D193" s="136"/>
      <c r="E193" s="136"/>
      <c r="F193" s="135">
        <f t="shared" si="49"/>
        <v>478252</v>
      </c>
      <c r="G193" s="135">
        <f>SUM(G177:G192)</f>
        <v>71738</v>
      </c>
      <c r="H193" s="135">
        <f>SUM(H177:H192)</f>
        <v>406514</v>
      </c>
      <c r="I193" s="135">
        <f>J193+N193</f>
        <v>478252</v>
      </c>
      <c r="J193" s="135">
        <f>SUM(K193:M193)</f>
        <v>71738</v>
      </c>
      <c r="K193" s="135">
        <f>SUM(K177:K192)</f>
        <v>0</v>
      </c>
      <c r="L193" s="135">
        <f>SUM(L177:L192)</f>
        <v>0</v>
      </c>
      <c r="M193" s="135">
        <f>SUM(M177:M192)</f>
        <v>71738</v>
      </c>
      <c r="N193" s="135">
        <f>O193+P193+Q193+R193</f>
        <v>406514</v>
      </c>
      <c r="O193" s="135">
        <f>SUM(O177:O192)</f>
        <v>0</v>
      </c>
      <c r="P193" s="135">
        <f>SUM(P177:P192)</f>
        <v>0</v>
      </c>
      <c r="Q193" s="135">
        <f>SUM(Q177:Q192)</f>
        <v>0</v>
      </c>
      <c r="R193" s="135">
        <f>SUM(R177:R192)</f>
        <v>406514</v>
      </c>
      <c r="T193" s="367"/>
    </row>
    <row r="194" spans="2:18" s="138" customFormat="1" ht="11.25">
      <c r="B194" s="474"/>
      <c r="C194" s="134">
        <v>2010</v>
      </c>
      <c r="D194" s="136"/>
      <c r="E194" s="136"/>
      <c r="F194" s="135">
        <f t="shared" si="49"/>
        <v>57866</v>
      </c>
      <c r="G194" s="135">
        <v>8680</v>
      </c>
      <c r="H194" s="133">
        <v>49186</v>
      </c>
      <c r="I194" s="135"/>
      <c r="J194" s="135"/>
      <c r="K194" s="136"/>
      <c r="L194" s="136"/>
      <c r="M194" s="242"/>
      <c r="N194" s="135"/>
      <c r="O194" s="136"/>
      <c r="P194" s="136"/>
      <c r="Q194" s="136"/>
      <c r="R194" s="136"/>
    </row>
    <row r="195" spans="2:18" s="138" customFormat="1" ht="11.25" customHeight="1">
      <c r="B195" s="474" t="s">
        <v>43</v>
      </c>
      <c r="C195" s="134" t="s">
        <v>262</v>
      </c>
      <c r="D195" s="476" t="s">
        <v>44</v>
      </c>
      <c r="E195" s="476"/>
      <c r="F195" s="476"/>
      <c r="G195" s="476"/>
      <c r="H195" s="476"/>
      <c r="I195" s="476"/>
      <c r="J195" s="476"/>
      <c r="K195" s="476"/>
      <c r="L195" s="476"/>
      <c r="M195" s="476"/>
      <c r="N195" s="476"/>
      <c r="O195" s="476"/>
      <c r="P195" s="476"/>
      <c r="Q195" s="476"/>
      <c r="R195" s="476"/>
    </row>
    <row r="196" spans="2:18" s="138" customFormat="1" ht="11.25" customHeight="1">
      <c r="B196" s="474"/>
      <c r="C196" s="134" t="s">
        <v>263</v>
      </c>
      <c r="D196" s="476"/>
      <c r="E196" s="476"/>
      <c r="F196" s="476"/>
      <c r="G196" s="476"/>
      <c r="H196" s="476"/>
      <c r="I196" s="476"/>
      <c r="J196" s="476"/>
      <c r="K196" s="476"/>
      <c r="L196" s="476"/>
      <c r="M196" s="476"/>
      <c r="N196" s="476"/>
      <c r="O196" s="476"/>
      <c r="P196" s="476"/>
      <c r="Q196" s="476"/>
      <c r="R196" s="476"/>
    </row>
    <row r="197" spans="2:18" s="138" customFormat="1" ht="11.25" customHeight="1">
      <c r="B197" s="474"/>
      <c r="C197" s="134" t="s">
        <v>264</v>
      </c>
      <c r="D197" s="476"/>
      <c r="E197" s="476"/>
      <c r="F197" s="476"/>
      <c r="G197" s="476"/>
      <c r="H197" s="476"/>
      <c r="I197" s="476"/>
      <c r="J197" s="476"/>
      <c r="K197" s="476"/>
      <c r="L197" s="476"/>
      <c r="M197" s="476"/>
      <c r="N197" s="476"/>
      <c r="O197" s="476"/>
      <c r="P197" s="476"/>
      <c r="Q197" s="476"/>
      <c r="R197" s="476"/>
    </row>
    <row r="198" spans="2:18" s="138" customFormat="1" ht="11.25" customHeight="1">
      <c r="B198" s="474"/>
      <c r="C198" s="134" t="s">
        <v>265</v>
      </c>
      <c r="D198" s="476"/>
      <c r="E198" s="476"/>
      <c r="F198" s="476"/>
      <c r="G198" s="476"/>
      <c r="H198" s="476"/>
      <c r="I198" s="476"/>
      <c r="J198" s="476"/>
      <c r="K198" s="476"/>
      <c r="L198" s="476"/>
      <c r="M198" s="476"/>
      <c r="N198" s="476"/>
      <c r="O198" s="476"/>
      <c r="P198" s="476"/>
      <c r="Q198" s="476"/>
      <c r="R198" s="476"/>
    </row>
    <row r="199" spans="2:18" s="138" customFormat="1" ht="12.75">
      <c r="B199" s="474"/>
      <c r="C199" s="266" t="s">
        <v>266</v>
      </c>
      <c r="D199" s="34"/>
      <c r="E199" s="140" t="s">
        <v>45</v>
      </c>
      <c r="F199" s="117">
        <f>F220</f>
        <v>832100</v>
      </c>
      <c r="G199" s="117">
        <f aca="true" t="shared" si="50" ref="G199:R199">G220</f>
        <v>124816</v>
      </c>
      <c r="H199" s="117">
        <f t="shared" si="50"/>
        <v>707284</v>
      </c>
      <c r="I199" s="117">
        <f t="shared" si="50"/>
        <v>832100</v>
      </c>
      <c r="J199" s="117">
        <f t="shared" si="50"/>
        <v>124816</v>
      </c>
      <c r="K199" s="117">
        <f t="shared" si="50"/>
        <v>0</v>
      </c>
      <c r="L199" s="117">
        <f t="shared" si="50"/>
        <v>0</v>
      </c>
      <c r="M199" s="117">
        <f t="shared" si="50"/>
        <v>124816</v>
      </c>
      <c r="N199" s="117">
        <f t="shared" si="50"/>
        <v>707284</v>
      </c>
      <c r="O199" s="117">
        <f t="shared" si="50"/>
        <v>0</v>
      </c>
      <c r="P199" s="117">
        <f t="shared" si="50"/>
        <v>0</v>
      </c>
      <c r="Q199" s="117">
        <f t="shared" si="50"/>
        <v>0</v>
      </c>
      <c r="R199" s="117">
        <f t="shared" si="50"/>
        <v>707284</v>
      </c>
    </row>
    <row r="200" spans="2:18" s="138" customFormat="1" ht="22.5">
      <c r="B200" s="474"/>
      <c r="C200" s="78" t="s">
        <v>453</v>
      </c>
      <c r="D200" s="34"/>
      <c r="E200" s="252">
        <v>4118</v>
      </c>
      <c r="F200" s="117">
        <f aca="true" t="shared" si="51" ref="F200:F220">G200+H200</f>
        <v>17612</v>
      </c>
      <c r="G200" s="117"/>
      <c r="H200" s="247">
        <f>R200</f>
        <v>17612</v>
      </c>
      <c r="I200" s="117">
        <f aca="true" t="shared" si="52" ref="I200:I215">J200+N200</f>
        <v>17612</v>
      </c>
      <c r="J200" s="117">
        <f aca="true" t="shared" si="53" ref="J200:J215">SUM(K200:M200)</f>
        <v>0</v>
      </c>
      <c r="K200" s="117"/>
      <c r="L200" s="117"/>
      <c r="M200" s="117"/>
      <c r="N200" s="117">
        <f aca="true" t="shared" si="54" ref="N200:N215">SUM(O200:R200)</f>
        <v>17612</v>
      </c>
      <c r="O200" s="117"/>
      <c r="P200" s="117"/>
      <c r="Q200" s="117"/>
      <c r="R200" s="247">
        <v>17612</v>
      </c>
    </row>
    <row r="201" spans="2:18" s="138" customFormat="1" ht="22.5">
      <c r="B201" s="474"/>
      <c r="C201" s="78" t="s">
        <v>453</v>
      </c>
      <c r="D201" s="34"/>
      <c r="E201" s="252">
        <v>4119</v>
      </c>
      <c r="F201" s="117">
        <f t="shared" si="51"/>
        <v>3097</v>
      </c>
      <c r="G201" s="117">
        <f>M201</f>
        <v>3097</v>
      </c>
      <c r="H201" s="247"/>
      <c r="I201" s="117">
        <f t="shared" si="52"/>
        <v>3097</v>
      </c>
      <c r="J201" s="117">
        <f t="shared" si="53"/>
        <v>3097</v>
      </c>
      <c r="K201" s="117"/>
      <c r="L201" s="117"/>
      <c r="M201" s="117">
        <v>3097</v>
      </c>
      <c r="N201" s="117">
        <f t="shared" si="54"/>
        <v>0</v>
      </c>
      <c r="O201" s="117"/>
      <c r="P201" s="117"/>
      <c r="Q201" s="117"/>
      <c r="R201" s="247"/>
    </row>
    <row r="202" spans="2:18" s="138" customFormat="1" ht="12.75">
      <c r="B202" s="474"/>
      <c r="C202" s="78" t="s">
        <v>455</v>
      </c>
      <c r="D202" s="34"/>
      <c r="E202" s="252">
        <v>4128</v>
      </c>
      <c r="F202" s="117">
        <f t="shared" si="51"/>
        <v>2844</v>
      </c>
      <c r="G202" s="117"/>
      <c r="H202" s="247">
        <f>R202</f>
        <v>2844</v>
      </c>
      <c r="I202" s="117">
        <f t="shared" si="52"/>
        <v>2844</v>
      </c>
      <c r="J202" s="117">
        <f t="shared" si="53"/>
        <v>0</v>
      </c>
      <c r="K202" s="117"/>
      <c r="L202" s="117"/>
      <c r="M202" s="117"/>
      <c r="N202" s="117">
        <f t="shared" si="54"/>
        <v>2844</v>
      </c>
      <c r="O202" s="117"/>
      <c r="P202" s="117"/>
      <c r="Q202" s="117"/>
      <c r="R202" s="247">
        <v>2844</v>
      </c>
    </row>
    <row r="203" spans="2:18" s="138" customFormat="1" ht="12.75">
      <c r="B203" s="474"/>
      <c r="C203" s="78" t="s">
        <v>455</v>
      </c>
      <c r="D203" s="34"/>
      <c r="E203" s="252">
        <v>4129</v>
      </c>
      <c r="F203" s="117">
        <f t="shared" si="51"/>
        <v>501</v>
      </c>
      <c r="G203" s="117">
        <f>M203</f>
        <v>501</v>
      </c>
      <c r="H203" s="247"/>
      <c r="I203" s="117">
        <f t="shared" si="52"/>
        <v>501</v>
      </c>
      <c r="J203" s="117">
        <f t="shared" si="53"/>
        <v>501</v>
      </c>
      <c r="K203" s="117"/>
      <c r="L203" s="117"/>
      <c r="M203" s="117">
        <v>501</v>
      </c>
      <c r="N203" s="117">
        <f t="shared" si="54"/>
        <v>0</v>
      </c>
      <c r="O203" s="117"/>
      <c r="P203" s="117"/>
      <c r="Q203" s="117"/>
      <c r="R203" s="247"/>
    </row>
    <row r="204" spans="2:18" s="138" customFormat="1" ht="56.25">
      <c r="B204" s="474"/>
      <c r="C204" s="78" t="s">
        <v>659</v>
      </c>
      <c r="D204" s="34"/>
      <c r="E204" s="253">
        <v>2318</v>
      </c>
      <c r="F204" s="117">
        <f>G204+H204</f>
        <v>0</v>
      </c>
      <c r="G204" s="117"/>
      <c r="H204" s="247">
        <f>N204</f>
        <v>0</v>
      </c>
      <c r="I204" s="117">
        <f>J204+N204</f>
        <v>0</v>
      </c>
      <c r="J204" s="117">
        <f>SUM(K204:M204)</f>
        <v>0</v>
      </c>
      <c r="K204" s="117"/>
      <c r="L204" s="117"/>
      <c r="M204" s="117"/>
      <c r="N204" s="117">
        <f>SUM(O204:R204)</f>
        <v>0</v>
      </c>
      <c r="O204" s="117"/>
      <c r="P204" s="117"/>
      <c r="Q204" s="117"/>
      <c r="R204" s="247"/>
    </row>
    <row r="205" spans="2:18" s="138" customFormat="1" ht="56.25">
      <c r="B205" s="474"/>
      <c r="C205" s="78" t="s">
        <v>660</v>
      </c>
      <c r="D205" s="34"/>
      <c r="E205" s="253">
        <v>2319</v>
      </c>
      <c r="F205" s="117">
        <f>G205+H205</f>
        <v>0</v>
      </c>
      <c r="G205" s="117">
        <f>I205</f>
        <v>0</v>
      </c>
      <c r="H205" s="247">
        <f>R205</f>
        <v>0</v>
      </c>
      <c r="I205" s="117">
        <f>J205+N205</f>
        <v>0</v>
      </c>
      <c r="J205" s="117">
        <f>SUM(K205:M205)</f>
        <v>0</v>
      </c>
      <c r="K205" s="117"/>
      <c r="L205" s="117"/>
      <c r="M205" s="117"/>
      <c r="N205" s="117">
        <f>SUM(O205:R205)</f>
        <v>0</v>
      </c>
      <c r="O205" s="117"/>
      <c r="P205" s="117"/>
      <c r="Q205" s="117"/>
      <c r="R205" s="247"/>
    </row>
    <row r="206" spans="2:18" s="138" customFormat="1" ht="56.25">
      <c r="B206" s="474"/>
      <c r="C206" s="78" t="s">
        <v>401</v>
      </c>
      <c r="D206" s="34"/>
      <c r="E206" s="253">
        <v>2328</v>
      </c>
      <c r="F206" s="117">
        <f>G206+H206</f>
        <v>0</v>
      </c>
      <c r="G206" s="117"/>
      <c r="H206" s="247">
        <f>R206</f>
        <v>0</v>
      </c>
      <c r="I206" s="117">
        <f>J206+N206</f>
        <v>0</v>
      </c>
      <c r="J206" s="117">
        <f>SUM(K206:M206)</f>
        <v>0</v>
      </c>
      <c r="K206" s="117"/>
      <c r="L206" s="117"/>
      <c r="M206" s="117"/>
      <c r="N206" s="117">
        <f>SUM(O206:R206)</f>
        <v>0</v>
      </c>
      <c r="O206" s="117"/>
      <c r="P206" s="117"/>
      <c r="Q206" s="117"/>
      <c r="R206" s="247"/>
    </row>
    <row r="207" spans="2:18" s="138" customFormat="1" ht="56.25">
      <c r="B207" s="474"/>
      <c r="C207" s="78" t="s">
        <v>401</v>
      </c>
      <c r="D207" s="34"/>
      <c r="E207" s="253">
        <v>2329</v>
      </c>
      <c r="F207" s="117">
        <f>G207+H207</f>
        <v>0</v>
      </c>
      <c r="G207" s="117">
        <f>M207</f>
        <v>0</v>
      </c>
      <c r="H207" s="247"/>
      <c r="I207" s="117">
        <f>J207+N207</f>
        <v>0</v>
      </c>
      <c r="J207" s="117">
        <f>SUM(K207:M207)</f>
        <v>0</v>
      </c>
      <c r="K207" s="117"/>
      <c r="L207" s="117"/>
      <c r="M207" s="117"/>
      <c r="N207" s="117">
        <f>SUM(O207:R207)</f>
        <v>0</v>
      </c>
      <c r="O207" s="117"/>
      <c r="P207" s="117"/>
      <c r="Q207" s="117"/>
      <c r="R207" s="247"/>
    </row>
    <row r="208" spans="2:18" s="138" customFormat="1" ht="22.5">
      <c r="B208" s="474"/>
      <c r="C208" s="78" t="s">
        <v>413</v>
      </c>
      <c r="D208" s="34"/>
      <c r="E208" s="252">
        <v>4178</v>
      </c>
      <c r="F208" s="117">
        <f t="shared" si="51"/>
        <v>122820</v>
      </c>
      <c r="G208" s="117"/>
      <c r="H208" s="247">
        <f>N208</f>
        <v>122820</v>
      </c>
      <c r="I208" s="117">
        <f t="shared" si="52"/>
        <v>122820</v>
      </c>
      <c r="J208" s="117">
        <f t="shared" si="53"/>
        <v>0</v>
      </c>
      <c r="K208" s="117"/>
      <c r="L208" s="117"/>
      <c r="M208" s="117"/>
      <c r="N208" s="117">
        <f t="shared" si="54"/>
        <v>122820</v>
      </c>
      <c r="O208" s="117"/>
      <c r="P208" s="117"/>
      <c r="Q208" s="117"/>
      <c r="R208" s="247">
        <v>122820</v>
      </c>
    </row>
    <row r="209" spans="2:18" s="138" customFormat="1" ht="22.5">
      <c r="B209" s="474"/>
      <c r="C209" s="78" t="s">
        <v>413</v>
      </c>
      <c r="D209" s="34"/>
      <c r="E209" s="252">
        <v>4179</v>
      </c>
      <c r="F209" s="117">
        <f t="shared" si="51"/>
        <v>21687</v>
      </c>
      <c r="G209" s="117">
        <f>J209</f>
        <v>21687</v>
      </c>
      <c r="H209" s="247"/>
      <c r="I209" s="117">
        <f t="shared" si="52"/>
        <v>21687</v>
      </c>
      <c r="J209" s="117">
        <f t="shared" si="53"/>
        <v>21687</v>
      </c>
      <c r="K209" s="117"/>
      <c r="L209" s="117"/>
      <c r="M209" s="117">
        <v>21687</v>
      </c>
      <c r="N209" s="117">
        <f t="shared" si="54"/>
        <v>0</v>
      </c>
      <c r="O209" s="117"/>
      <c r="P209" s="117"/>
      <c r="Q209" s="117"/>
      <c r="R209" s="247"/>
    </row>
    <row r="210" spans="2:18" s="138" customFormat="1" ht="22.5">
      <c r="B210" s="474"/>
      <c r="C210" s="78" t="s">
        <v>379</v>
      </c>
      <c r="D210" s="34"/>
      <c r="E210" s="252">
        <v>4218</v>
      </c>
      <c r="F210" s="117">
        <f t="shared" si="51"/>
        <v>11362</v>
      </c>
      <c r="G210" s="117"/>
      <c r="H210" s="247">
        <f>N210</f>
        <v>11362</v>
      </c>
      <c r="I210" s="117">
        <f t="shared" si="52"/>
        <v>11362</v>
      </c>
      <c r="J210" s="117">
        <f t="shared" si="53"/>
        <v>0</v>
      </c>
      <c r="K210" s="117"/>
      <c r="L210" s="117"/>
      <c r="M210" s="117"/>
      <c r="N210" s="117">
        <f t="shared" si="54"/>
        <v>11362</v>
      </c>
      <c r="O210" s="117"/>
      <c r="P210" s="117"/>
      <c r="Q210" s="117"/>
      <c r="R210" s="247">
        <v>11362</v>
      </c>
    </row>
    <row r="211" spans="2:18" s="138" customFormat="1" ht="22.5">
      <c r="B211" s="474"/>
      <c r="C211" s="78" t="s">
        <v>379</v>
      </c>
      <c r="D211" s="34"/>
      <c r="E211" s="252">
        <v>4219</v>
      </c>
      <c r="F211" s="117">
        <f t="shared" si="51"/>
        <v>2005</v>
      </c>
      <c r="G211" s="117">
        <f>I211</f>
        <v>2005</v>
      </c>
      <c r="H211" s="247"/>
      <c r="I211" s="117">
        <f t="shared" si="52"/>
        <v>2005</v>
      </c>
      <c r="J211" s="117">
        <f t="shared" si="53"/>
        <v>2005</v>
      </c>
      <c r="K211" s="117"/>
      <c r="L211" s="117"/>
      <c r="M211" s="117">
        <v>2005</v>
      </c>
      <c r="N211" s="117">
        <f t="shared" si="54"/>
        <v>0</v>
      </c>
      <c r="O211" s="117"/>
      <c r="P211" s="117"/>
      <c r="Q211" s="117"/>
      <c r="R211" s="247"/>
    </row>
    <row r="212" spans="2:18" s="138" customFormat="1" ht="33.75">
      <c r="B212" s="474"/>
      <c r="C212" s="368" t="s">
        <v>458</v>
      </c>
      <c r="D212" s="34"/>
      <c r="E212" s="252">
        <v>4758</v>
      </c>
      <c r="F212" s="117">
        <f t="shared" si="51"/>
        <v>6383</v>
      </c>
      <c r="G212" s="117"/>
      <c r="H212" s="247">
        <f>N212</f>
        <v>6383</v>
      </c>
      <c r="I212" s="117">
        <f t="shared" si="52"/>
        <v>6383</v>
      </c>
      <c r="J212" s="117">
        <f t="shared" si="53"/>
        <v>0</v>
      </c>
      <c r="K212" s="117"/>
      <c r="L212" s="117"/>
      <c r="M212" s="117"/>
      <c r="N212" s="117">
        <f t="shared" si="54"/>
        <v>6383</v>
      </c>
      <c r="O212" s="117"/>
      <c r="P212" s="117"/>
      <c r="Q212" s="117"/>
      <c r="R212" s="247">
        <v>6383</v>
      </c>
    </row>
    <row r="213" spans="2:18" s="138" customFormat="1" ht="33.75">
      <c r="B213" s="474"/>
      <c r="C213" s="368" t="s">
        <v>458</v>
      </c>
      <c r="D213" s="34"/>
      <c r="E213" s="252">
        <v>4759</v>
      </c>
      <c r="F213" s="117">
        <f t="shared" si="51"/>
        <v>1127</v>
      </c>
      <c r="G213" s="117">
        <f>I213</f>
        <v>1127</v>
      </c>
      <c r="H213" s="247"/>
      <c r="I213" s="117">
        <f t="shared" si="52"/>
        <v>1127</v>
      </c>
      <c r="J213" s="117">
        <f t="shared" si="53"/>
        <v>1127</v>
      </c>
      <c r="K213" s="117"/>
      <c r="L213" s="117"/>
      <c r="M213" s="117">
        <v>1127</v>
      </c>
      <c r="N213" s="117">
        <f t="shared" si="54"/>
        <v>0</v>
      </c>
      <c r="O213" s="117"/>
      <c r="P213" s="117"/>
      <c r="Q213" s="117"/>
      <c r="R213" s="247"/>
    </row>
    <row r="214" spans="2:18" s="138" customFormat="1" ht="12.75">
      <c r="B214" s="474"/>
      <c r="C214" s="78" t="s">
        <v>362</v>
      </c>
      <c r="D214" s="34"/>
      <c r="E214" s="252">
        <v>4308</v>
      </c>
      <c r="F214" s="117">
        <f t="shared" si="51"/>
        <v>479170</v>
      </c>
      <c r="G214" s="117"/>
      <c r="H214" s="247">
        <f>N214</f>
        <v>479170</v>
      </c>
      <c r="I214" s="117">
        <f t="shared" si="52"/>
        <v>479170</v>
      </c>
      <c r="J214" s="117">
        <f t="shared" si="53"/>
        <v>0</v>
      </c>
      <c r="K214" s="117"/>
      <c r="L214" s="117"/>
      <c r="M214" s="117"/>
      <c r="N214" s="117">
        <f t="shared" si="54"/>
        <v>479170</v>
      </c>
      <c r="O214" s="117"/>
      <c r="P214" s="117"/>
      <c r="Q214" s="117"/>
      <c r="R214" s="247">
        <v>479170</v>
      </c>
    </row>
    <row r="215" spans="2:18" s="138" customFormat="1" ht="12.75">
      <c r="B215" s="474"/>
      <c r="C215" s="78" t="s">
        <v>362</v>
      </c>
      <c r="D215" s="34"/>
      <c r="E215" s="252">
        <v>4309</v>
      </c>
      <c r="F215" s="117">
        <f t="shared" si="51"/>
        <v>84559</v>
      </c>
      <c r="G215" s="117">
        <f>I215</f>
        <v>84559</v>
      </c>
      <c r="H215" s="247"/>
      <c r="I215" s="117">
        <f t="shared" si="52"/>
        <v>84559</v>
      </c>
      <c r="J215" s="117">
        <f t="shared" si="53"/>
        <v>84559</v>
      </c>
      <c r="K215" s="117"/>
      <c r="L215" s="117"/>
      <c r="M215" s="117">
        <v>84559</v>
      </c>
      <c r="N215" s="117">
        <f t="shared" si="54"/>
        <v>0</v>
      </c>
      <c r="O215" s="117"/>
      <c r="P215" s="117"/>
      <c r="Q215" s="117"/>
      <c r="R215" s="247"/>
    </row>
    <row r="216" spans="2:18" s="138" customFormat="1" ht="22.5">
      <c r="B216" s="474"/>
      <c r="C216" s="78" t="s">
        <v>388</v>
      </c>
      <c r="D216" s="34"/>
      <c r="E216" s="252">
        <v>4418</v>
      </c>
      <c r="F216" s="117">
        <f>G216+H216</f>
        <v>63342</v>
      </c>
      <c r="G216" s="117"/>
      <c r="H216" s="247">
        <f>N216</f>
        <v>63342</v>
      </c>
      <c r="I216" s="117">
        <f>J216+N216</f>
        <v>63342</v>
      </c>
      <c r="J216" s="117">
        <f>SUM(K216:M216)</f>
        <v>0</v>
      </c>
      <c r="K216" s="117"/>
      <c r="L216" s="117"/>
      <c r="M216" s="117"/>
      <c r="N216" s="117">
        <f>SUM(O216:R216)</f>
        <v>63342</v>
      </c>
      <c r="O216" s="117"/>
      <c r="P216" s="117"/>
      <c r="Q216" s="117"/>
      <c r="R216" s="247">
        <v>63342</v>
      </c>
    </row>
    <row r="217" spans="2:18" s="138" customFormat="1" ht="22.5">
      <c r="B217" s="474"/>
      <c r="C217" s="78" t="s">
        <v>388</v>
      </c>
      <c r="D217" s="34"/>
      <c r="E217" s="252">
        <v>4419</v>
      </c>
      <c r="F217" s="117">
        <f>G217+H217</f>
        <v>11178</v>
      </c>
      <c r="G217" s="117">
        <f>I217</f>
        <v>11178</v>
      </c>
      <c r="H217" s="247"/>
      <c r="I217" s="117">
        <f>J217+N217</f>
        <v>11178</v>
      </c>
      <c r="J217" s="117">
        <f>SUM(K217:M217)</f>
        <v>11178</v>
      </c>
      <c r="K217" s="117"/>
      <c r="L217" s="117"/>
      <c r="M217" s="117">
        <v>11178</v>
      </c>
      <c r="N217" s="117">
        <f>SUM(O217:R217)</f>
        <v>0</v>
      </c>
      <c r="O217" s="117"/>
      <c r="P217" s="117"/>
      <c r="Q217" s="117"/>
      <c r="R217" s="247"/>
    </row>
    <row r="218" spans="2:18" s="138" customFormat="1" ht="45">
      <c r="B218" s="474"/>
      <c r="C218" s="383" t="s">
        <v>416</v>
      </c>
      <c r="D218" s="34"/>
      <c r="E218" s="252">
        <v>4748</v>
      </c>
      <c r="F218" s="117">
        <f t="shared" si="51"/>
        <v>3751</v>
      </c>
      <c r="G218" s="117"/>
      <c r="H218" s="247">
        <f>N218</f>
        <v>3751</v>
      </c>
      <c r="I218" s="117">
        <f>J218+N218</f>
        <v>3751</v>
      </c>
      <c r="J218" s="117">
        <f>SUM(K218:M218)</f>
        <v>0</v>
      </c>
      <c r="K218" s="117"/>
      <c r="L218" s="117"/>
      <c r="M218" s="117"/>
      <c r="N218" s="117">
        <f>SUM(O218:R218)</f>
        <v>3751</v>
      </c>
      <c r="O218" s="117"/>
      <c r="P218" s="117"/>
      <c r="Q218" s="117"/>
      <c r="R218" s="247">
        <v>3751</v>
      </c>
    </row>
    <row r="219" spans="2:18" s="138" customFormat="1" ht="45">
      <c r="B219" s="474"/>
      <c r="C219" s="383" t="s">
        <v>416</v>
      </c>
      <c r="D219" s="34"/>
      <c r="E219" s="252">
        <v>4749</v>
      </c>
      <c r="F219" s="117">
        <f t="shared" si="51"/>
        <v>662</v>
      </c>
      <c r="G219" s="117">
        <f>I219</f>
        <v>662</v>
      </c>
      <c r="H219" s="247"/>
      <c r="I219" s="117">
        <f>J219+N219</f>
        <v>662</v>
      </c>
      <c r="J219" s="117">
        <f>SUM(K219:M219)</f>
        <v>662</v>
      </c>
      <c r="K219" s="117"/>
      <c r="L219" s="117"/>
      <c r="M219" s="117">
        <v>662</v>
      </c>
      <c r="N219" s="117">
        <f>SUM(O219:R219)</f>
        <v>0</v>
      </c>
      <c r="O219" s="117"/>
      <c r="P219" s="117"/>
      <c r="Q219" s="117"/>
      <c r="R219" s="247"/>
    </row>
    <row r="220" spans="2:20" s="138" customFormat="1" ht="11.25">
      <c r="B220" s="474"/>
      <c r="C220" s="134">
        <v>2009</v>
      </c>
      <c r="D220" s="136"/>
      <c r="E220" s="136"/>
      <c r="F220" s="135">
        <f t="shared" si="51"/>
        <v>832100</v>
      </c>
      <c r="G220" s="135">
        <f>SUM(G200:G219)</f>
        <v>124816</v>
      </c>
      <c r="H220" s="135">
        <f>SUM(H200:H219)</f>
        <v>707284</v>
      </c>
      <c r="I220" s="135">
        <f>J220+N220</f>
        <v>832100</v>
      </c>
      <c r="J220" s="135">
        <f>SUM(J200:J219)</f>
        <v>124816</v>
      </c>
      <c r="K220" s="135">
        <f>SUM(K200:K219)</f>
        <v>0</v>
      </c>
      <c r="L220" s="135">
        <f>SUM(L200:L219)</f>
        <v>0</v>
      </c>
      <c r="M220" s="135">
        <f>SUM(M200:M219)</f>
        <v>124816</v>
      </c>
      <c r="N220" s="135">
        <f>O220+P220+Q220+R220</f>
        <v>707284</v>
      </c>
      <c r="O220" s="135">
        <f>SUM(O200:O219)</f>
        <v>0</v>
      </c>
      <c r="P220" s="135">
        <f>SUM(P200:P219)</f>
        <v>0</v>
      </c>
      <c r="Q220" s="135">
        <f>SUM(Q200:Q219)</f>
        <v>0</v>
      </c>
      <c r="R220" s="135">
        <f>SUM(R200:R219)</f>
        <v>707284</v>
      </c>
      <c r="T220" s="367"/>
    </row>
    <row r="221" spans="2:18" s="138" customFormat="1" ht="11.25" customHeight="1">
      <c r="B221" s="474" t="s">
        <v>92</v>
      </c>
      <c r="C221" s="134" t="s">
        <v>262</v>
      </c>
      <c r="D221" s="477" t="s">
        <v>93</v>
      </c>
      <c r="E221" s="477"/>
      <c r="F221" s="477"/>
      <c r="G221" s="477"/>
      <c r="H221" s="477"/>
      <c r="I221" s="477"/>
      <c r="J221" s="477"/>
      <c r="K221" s="477"/>
      <c r="L221" s="477"/>
      <c r="M221" s="477"/>
      <c r="N221" s="477"/>
      <c r="O221" s="477"/>
      <c r="P221" s="477"/>
      <c r="Q221" s="477"/>
      <c r="R221" s="477"/>
    </row>
    <row r="222" spans="2:18" s="138" customFormat="1" ht="11.25" customHeight="1">
      <c r="B222" s="474"/>
      <c r="C222" s="134" t="s">
        <v>263</v>
      </c>
      <c r="D222" s="477"/>
      <c r="E222" s="477"/>
      <c r="F222" s="477"/>
      <c r="G222" s="477"/>
      <c r="H222" s="477"/>
      <c r="I222" s="477"/>
      <c r="J222" s="477"/>
      <c r="K222" s="477"/>
      <c r="L222" s="477"/>
      <c r="M222" s="477"/>
      <c r="N222" s="477"/>
      <c r="O222" s="477"/>
      <c r="P222" s="477"/>
      <c r="Q222" s="477"/>
      <c r="R222" s="477"/>
    </row>
    <row r="223" spans="2:18" s="138" customFormat="1" ht="11.25" customHeight="1">
      <c r="B223" s="474"/>
      <c r="C223" s="134" t="s">
        <v>264</v>
      </c>
      <c r="D223" s="477"/>
      <c r="E223" s="477"/>
      <c r="F223" s="477"/>
      <c r="G223" s="477"/>
      <c r="H223" s="477"/>
      <c r="I223" s="477"/>
      <c r="J223" s="477"/>
      <c r="K223" s="477"/>
      <c r="L223" s="477"/>
      <c r="M223" s="477"/>
      <c r="N223" s="477"/>
      <c r="O223" s="477"/>
      <c r="P223" s="477"/>
      <c r="Q223" s="477"/>
      <c r="R223" s="477"/>
    </row>
    <row r="224" spans="2:18" s="138" customFormat="1" ht="11.25" customHeight="1">
      <c r="B224" s="474"/>
      <c r="C224" s="134" t="s">
        <v>265</v>
      </c>
      <c r="D224" s="477"/>
      <c r="E224" s="477"/>
      <c r="F224" s="477"/>
      <c r="G224" s="477"/>
      <c r="H224" s="477"/>
      <c r="I224" s="477"/>
      <c r="J224" s="477"/>
      <c r="K224" s="477"/>
      <c r="L224" s="477"/>
      <c r="M224" s="477"/>
      <c r="N224" s="477"/>
      <c r="O224" s="477"/>
      <c r="P224" s="477"/>
      <c r="Q224" s="477"/>
      <c r="R224" s="477"/>
    </row>
    <row r="225" spans="2:18" s="138" customFormat="1" ht="12.75">
      <c r="B225" s="474"/>
      <c r="C225" s="266" t="s">
        <v>266</v>
      </c>
      <c r="D225" s="34"/>
      <c r="E225" s="140" t="s">
        <v>45</v>
      </c>
      <c r="F225" s="117">
        <f>SUM(F226:F230)</f>
        <v>23000</v>
      </c>
      <c r="G225" s="117">
        <f>SUM(G226:G230)</f>
        <v>3000</v>
      </c>
      <c r="H225" s="117">
        <f>SUM(H226:H230)</f>
        <v>20000</v>
      </c>
      <c r="I225" s="117">
        <f>SUM(I226:I230)</f>
        <v>23000</v>
      </c>
      <c r="J225" s="117">
        <f>SUM(J226:J229)</f>
        <v>3000</v>
      </c>
      <c r="K225" s="117">
        <f>SUM(K226:K229)</f>
        <v>0</v>
      </c>
      <c r="L225" s="117">
        <f>SUM(L226:L229)</f>
        <v>0</v>
      </c>
      <c r="M225" s="117">
        <f>SUM(M226:M229)</f>
        <v>3000</v>
      </c>
      <c r="N225" s="117">
        <f>SUM(N226:N229)</f>
        <v>20000</v>
      </c>
      <c r="O225" s="117">
        <f>O226+O228</f>
        <v>0</v>
      </c>
      <c r="P225" s="117">
        <f>P226+P228</f>
        <v>0</v>
      </c>
      <c r="Q225" s="117">
        <f>Q226+Q228</f>
        <v>0</v>
      </c>
      <c r="R225" s="117">
        <f>SUM(R226:R229)</f>
        <v>20000</v>
      </c>
    </row>
    <row r="226" spans="2:18" s="138" customFormat="1" ht="22.5">
      <c r="B226" s="474"/>
      <c r="C226" s="78" t="s">
        <v>379</v>
      </c>
      <c r="D226" s="34"/>
      <c r="E226" s="252">
        <v>4218</v>
      </c>
      <c r="F226" s="117">
        <f>G226+H226</f>
        <v>1739</v>
      </c>
      <c r="G226" s="117"/>
      <c r="H226" s="247">
        <f>R226</f>
        <v>1739</v>
      </c>
      <c r="I226" s="117">
        <f>J226+N226</f>
        <v>1739</v>
      </c>
      <c r="J226" s="117">
        <f>SUM(K226:M226)</f>
        <v>0</v>
      </c>
      <c r="K226" s="117"/>
      <c r="L226" s="117"/>
      <c r="M226" s="117"/>
      <c r="N226" s="117">
        <f>SUM(O226:R226)</f>
        <v>1739</v>
      </c>
      <c r="O226" s="117"/>
      <c r="P226" s="117"/>
      <c r="Q226" s="117"/>
      <c r="R226" s="247">
        <v>1739</v>
      </c>
    </row>
    <row r="227" spans="2:18" s="138" customFormat="1" ht="22.5">
      <c r="B227" s="474"/>
      <c r="C227" s="78" t="s">
        <v>379</v>
      </c>
      <c r="D227" s="34"/>
      <c r="E227" s="252">
        <v>4219</v>
      </c>
      <c r="F227" s="117">
        <f>G227+H227</f>
        <v>261</v>
      </c>
      <c r="G227" s="117">
        <f>M227</f>
        <v>261</v>
      </c>
      <c r="H227" s="247"/>
      <c r="I227" s="117">
        <f>J227+N227</f>
        <v>261</v>
      </c>
      <c r="J227" s="117">
        <f>SUM(K227:M227)</f>
        <v>261</v>
      </c>
      <c r="K227" s="117"/>
      <c r="L227" s="117"/>
      <c r="M227" s="117">
        <v>261</v>
      </c>
      <c r="N227" s="117">
        <f>SUM(O227:R227)</f>
        <v>0</v>
      </c>
      <c r="O227" s="117"/>
      <c r="P227" s="117"/>
      <c r="Q227" s="117"/>
      <c r="R227" s="247"/>
    </row>
    <row r="228" spans="2:18" s="138" customFormat="1" ht="12.75">
      <c r="B228" s="474"/>
      <c r="C228" s="78" t="s">
        <v>362</v>
      </c>
      <c r="D228" s="34"/>
      <c r="E228" s="252">
        <v>4308</v>
      </c>
      <c r="F228" s="117">
        <f>G228+H228</f>
        <v>18261</v>
      </c>
      <c r="G228" s="117"/>
      <c r="H228" s="247">
        <f>R228</f>
        <v>18261</v>
      </c>
      <c r="I228" s="117">
        <f>J228+N228</f>
        <v>18261</v>
      </c>
      <c r="J228" s="117">
        <f>SUM(K228:M228)</f>
        <v>0</v>
      </c>
      <c r="K228" s="117"/>
      <c r="L228" s="117"/>
      <c r="M228" s="117"/>
      <c r="N228" s="117">
        <f>SUM(O228:R228)</f>
        <v>18261</v>
      </c>
      <c r="O228" s="117"/>
      <c r="P228" s="117"/>
      <c r="Q228" s="117"/>
      <c r="R228" s="247">
        <v>18261</v>
      </c>
    </row>
    <row r="229" spans="2:18" s="138" customFormat="1" ht="12.75">
      <c r="B229" s="474"/>
      <c r="C229" s="78" t="s">
        <v>362</v>
      </c>
      <c r="D229" s="34"/>
      <c r="E229" s="252">
        <v>4309</v>
      </c>
      <c r="F229" s="117">
        <f>G229+H229</f>
        <v>2739</v>
      </c>
      <c r="G229" s="117">
        <f>M229</f>
        <v>2739</v>
      </c>
      <c r="H229" s="247"/>
      <c r="I229" s="117">
        <f>J229+N229</f>
        <v>2739</v>
      </c>
      <c r="J229" s="117">
        <f>SUM(K229:M229)</f>
        <v>2739</v>
      </c>
      <c r="K229" s="117"/>
      <c r="L229" s="117"/>
      <c r="M229" s="117">
        <v>2739</v>
      </c>
      <c r="N229" s="117">
        <f>SUM(O229:R229)</f>
        <v>0</v>
      </c>
      <c r="O229" s="117"/>
      <c r="P229" s="117"/>
      <c r="Q229" s="117"/>
      <c r="R229" s="247"/>
    </row>
    <row r="230" spans="2:20" s="138" customFormat="1" ht="11.25">
      <c r="B230" s="474"/>
      <c r="C230" s="134"/>
      <c r="D230" s="136"/>
      <c r="E230" s="136"/>
      <c r="F230" s="135"/>
      <c r="G230" s="135"/>
      <c r="H230" s="135"/>
      <c r="I230" s="135"/>
      <c r="J230" s="135"/>
      <c r="K230" s="135"/>
      <c r="L230" s="135"/>
      <c r="M230" s="135"/>
      <c r="N230" s="135"/>
      <c r="O230" s="135"/>
      <c r="P230" s="135"/>
      <c r="Q230" s="135"/>
      <c r="R230" s="135"/>
      <c r="T230" s="367"/>
    </row>
    <row r="231" spans="2:20" s="138" customFormat="1" ht="11.25">
      <c r="B231" s="474"/>
      <c r="C231" s="134"/>
      <c r="D231" s="136"/>
      <c r="E231" s="136"/>
      <c r="F231" s="135"/>
      <c r="G231" s="135"/>
      <c r="H231" s="135"/>
      <c r="I231" s="135"/>
      <c r="J231" s="135"/>
      <c r="K231" s="135"/>
      <c r="L231" s="135"/>
      <c r="M231" s="135"/>
      <c r="N231" s="135"/>
      <c r="O231" s="135"/>
      <c r="P231" s="135"/>
      <c r="Q231" s="135"/>
      <c r="R231" s="135"/>
      <c r="T231" s="367"/>
    </row>
    <row r="232" spans="2:18" s="54" customFormat="1" ht="15" customHeight="1">
      <c r="B232" s="417" t="s">
        <v>272</v>
      </c>
      <c r="C232" s="417"/>
      <c r="D232" s="417" t="s">
        <v>222</v>
      </c>
      <c r="E232" s="417"/>
      <c r="F232" s="256">
        <f aca="true" t="shared" si="55" ref="F232:R232">F10+F39</f>
        <v>32810704</v>
      </c>
      <c r="G232" s="256">
        <f t="shared" si="55"/>
        <v>13005004</v>
      </c>
      <c r="H232" s="257">
        <f t="shared" si="55"/>
        <v>19775678</v>
      </c>
      <c r="I232" s="257">
        <f t="shared" si="55"/>
        <v>10953892</v>
      </c>
      <c r="J232" s="256">
        <f t="shared" si="55"/>
        <v>4279070</v>
      </c>
      <c r="K232" s="256">
        <f t="shared" si="55"/>
        <v>0</v>
      </c>
      <c r="L232" s="256">
        <f t="shared" si="55"/>
        <v>0</v>
      </c>
      <c r="M232" s="256">
        <f t="shared" si="55"/>
        <v>4279070</v>
      </c>
      <c r="N232" s="256">
        <f t="shared" si="55"/>
        <v>6674822</v>
      </c>
      <c r="O232" s="256">
        <f t="shared" si="55"/>
        <v>0</v>
      </c>
      <c r="P232" s="256">
        <f t="shared" si="55"/>
        <v>0</v>
      </c>
      <c r="Q232" s="256">
        <f t="shared" si="55"/>
        <v>0</v>
      </c>
      <c r="R232" s="256">
        <f t="shared" si="55"/>
        <v>6678026</v>
      </c>
    </row>
    <row r="235" ht="11.25">
      <c r="C235" s="381" t="s">
        <v>51</v>
      </c>
    </row>
  </sheetData>
  <sheetProtection/>
  <mergeCells count="38">
    <mergeCell ref="B232:C232"/>
    <mergeCell ref="D59:R62"/>
    <mergeCell ref="D39:E39"/>
    <mergeCell ref="D232:E232"/>
    <mergeCell ref="D105:R108"/>
    <mergeCell ref="D128:R131"/>
    <mergeCell ref="D172:R175"/>
    <mergeCell ref="B40:B58"/>
    <mergeCell ref="D11:R13"/>
    <mergeCell ref="D14:R14"/>
    <mergeCell ref="D148:R151"/>
    <mergeCell ref="B11:B21"/>
    <mergeCell ref="K7:M7"/>
    <mergeCell ref="D10:E10"/>
    <mergeCell ref="C3:C8"/>
    <mergeCell ref="D85:R88"/>
    <mergeCell ref="D30:R33"/>
    <mergeCell ref="I5:I8"/>
    <mergeCell ref="G4:G8"/>
    <mergeCell ref="I3:R3"/>
    <mergeCell ref="D40:R43"/>
    <mergeCell ref="D3:D8"/>
    <mergeCell ref="N6:R6"/>
    <mergeCell ref="O7:R7"/>
    <mergeCell ref="D22:R22"/>
    <mergeCell ref="J7:J8"/>
    <mergeCell ref="I4:R4"/>
    <mergeCell ref="J5:R5"/>
    <mergeCell ref="D221:R224"/>
    <mergeCell ref="D195:R198"/>
    <mergeCell ref="B1:R1"/>
    <mergeCell ref="J6:M6"/>
    <mergeCell ref="B3:B8"/>
    <mergeCell ref="E3:E8"/>
    <mergeCell ref="N7:N8"/>
    <mergeCell ref="H4:H8"/>
    <mergeCell ref="F3:F8"/>
    <mergeCell ref="G3:H3"/>
  </mergeCells>
  <printOptions/>
  <pageMargins left="0.3937007874015748" right="0.3937007874015748" top="0.76" bottom="0.5905511811023623" header="0.1968503937007874" footer="0.5118110236220472"/>
  <pageSetup horizontalDpi="300" verticalDpi="300" orientation="landscape" paperSize="9" scale="80" r:id="rId1"/>
  <headerFooter alignWithMargins="0">
    <oddHeader>&amp;R&amp;9Załącznik nr 4
do uchwały Rady Powiatu 
nr XXII/145/09
z dnia 23.04.2009 r.</oddHead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419" t="s">
        <v>695</v>
      </c>
      <c r="B1" s="419"/>
      <c r="C1" s="419"/>
      <c r="D1" s="419"/>
    </row>
    <row r="2" ht="6.75" customHeight="1">
      <c r="A2" s="15"/>
    </row>
    <row r="3" ht="12.75">
      <c r="D3" s="89" t="s">
        <v>216</v>
      </c>
    </row>
    <row r="4" spans="1:4" ht="15" customHeight="1">
      <c r="A4" s="408" t="s">
        <v>234</v>
      </c>
      <c r="B4" s="408" t="s">
        <v>180</v>
      </c>
      <c r="C4" s="406" t="s">
        <v>235</v>
      </c>
      <c r="D4" s="410" t="s">
        <v>696</v>
      </c>
    </row>
    <row r="5" spans="1:4" ht="15" customHeight="1">
      <c r="A5" s="408"/>
      <c r="B5" s="408"/>
      <c r="C5" s="408"/>
      <c r="D5" s="410"/>
    </row>
    <row r="6" spans="1:4" ht="15.75" customHeight="1">
      <c r="A6" s="408"/>
      <c r="B6" s="408"/>
      <c r="C6" s="408"/>
      <c r="D6" s="410"/>
    </row>
    <row r="7" spans="1:4" s="56" customFormat="1" ht="6.75" customHeight="1">
      <c r="A7" s="55">
        <v>1</v>
      </c>
      <c r="B7" s="55">
        <v>2</v>
      </c>
      <c r="C7" s="55">
        <v>3</v>
      </c>
      <c r="D7" s="90">
        <v>4</v>
      </c>
    </row>
    <row r="8" spans="1:4" ht="18.75" customHeight="1">
      <c r="A8" s="418" t="s">
        <v>200</v>
      </c>
      <c r="B8" s="418"/>
      <c r="C8" s="22"/>
      <c r="D8" s="77">
        <f>SUM(D9:D16)</f>
        <v>6940800</v>
      </c>
    </row>
    <row r="9" spans="1:4" ht="18.75" customHeight="1">
      <c r="A9" s="23" t="s">
        <v>186</v>
      </c>
      <c r="B9" s="24" t="s">
        <v>194</v>
      </c>
      <c r="C9" s="23" t="s">
        <v>201</v>
      </c>
      <c r="D9" s="91"/>
    </row>
    <row r="10" spans="1:4" ht="18.75" customHeight="1">
      <c r="A10" s="25" t="s">
        <v>187</v>
      </c>
      <c r="B10" s="26" t="s">
        <v>195</v>
      </c>
      <c r="C10" s="25" t="s">
        <v>201</v>
      </c>
      <c r="D10" s="92"/>
    </row>
    <row r="11" spans="1:7" ht="51">
      <c r="A11" s="25" t="s">
        <v>188</v>
      </c>
      <c r="B11" s="27" t="s">
        <v>296</v>
      </c>
      <c r="C11" s="25" t="s">
        <v>224</v>
      </c>
      <c r="D11" s="92"/>
      <c r="G11" s="67"/>
    </row>
    <row r="12" spans="1:4" ht="18.75" customHeight="1">
      <c r="A12" s="25" t="s">
        <v>176</v>
      </c>
      <c r="B12" s="26" t="s">
        <v>203</v>
      </c>
      <c r="C12" s="25" t="s">
        <v>225</v>
      </c>
      <c r="D12" s="92"/>
    </row>
    <row r="13" spans="1:4" ht="18.75" customHeight="1">
      <c r="A13" s="25" t="s">
        <v>193</v>
      </c>
      <c r="B13" s="26" t="s">
        <v>297</v>
      </c>
      <c r="C13" s="25" t="s">
        <v>313</v>
      </c>
      <c r="D13" s="92"/>
    </row>
    <row r="14" spans="1:4" ht="18.75" customHeight="1">
      <c r="A14" s="25" t="s">
        <v>196</v>
      </c>
      <c r="B14" s="26" t="s">
        <v>197</v>
      </c>
      <c r="C14" s="25" t="s">
        <v>202</v>
      </c>
      <c r="D14" s="92"/>
    </row>
    <row r="15" spans="1:4" ht="18.75" customHeight="1">
      <c r="A15" s="25" t="s">
        <v>198</v>
      </c>
      <c r="B15" s="26" t="s">
        <v>323</v>
      </c>
      <c r="C15" s="25" t="s">
        <v>244</v>
      </c>
      <c r="D15" s="92">
        <f>4920000+400000+150000</f>
        <v>5470000</v>
      </c>
    </row>
    <row r="16" spans="1:4" ht="18.75" customHeight="1">
      <c r="A16" s="25" t="s">
        <v>205</v>
      </c>
      <c r="B16" s="29" t="s">
        <v>223</v>
      </c>
      <c r="C16" s="28" t="s">
        <v>204</v>
      </c>
      <c r="D16" s="93">
        <f>1105000+365800</f>
        <v>1470800</v>
      </c>
    </row>
    <row r="17" spans="1:4" ht="18.75" customHeight="1">
      <c r="A17" s="418" t="s">
        <v>298</v>
      </c>
      <c r="B17" s="418"/>
      <c r="C17" s="22"/>
      <c r="D17" s="77">
        <f>SUM(D18:D24)</f>
        <v>1105000</v>
      </c>
    </row>
    <row r="18" spans="1:4" ht="18.75" customHeight="1">
      <c r="A18" s="23" t="s">
        <v>186</v>
      </c>
      <c r="B18" s="24" t="s">
        <v>226</v>
      </c>
      <c r="C18" s="23" t="s">
        <v>207</v>
      </c>
      <c r="D18" s="91">
        <v>1105000</v>
      </c>
    </row>
    <row r="19" spans="1:4" ht="18.75" customHeight="1">
      <c r="A19" s="25" t="s">
        <v>187</v>
      </c>
      <c r="B19" s="26" t="s">
        <v>206</v>
      </c>
      <c r="C19" s="25" t="s">
        <v>207</v>
      </c>
      <c r="D19" s="92"/>
    </row>
    <row r="20" spans="1:4" ht="38.25">
      <c r="A20" s="25" t="s">
        <v>188</v>
      </c>
      <c r="B20" s="27" t="s">
        <v>229</v>
      </c>
      <c r="C20" s="25" t="s">
        <v>230</v>
      </c>
      <c r="D20" s="92"/>
    </row>
    <row r="21" spans="1:4" ht="18.75" customHeight="1">
      <c r="A21" s="25" t="s">
        <v>176</v>
      </c>
      <c r="B21" s="26" t="s">
        <v>227</v>
      </c>
      <c r="C21" s="25" t="s">
        <v>221</v>
      </c>
      <c r="D21" s="92"/>
    </row>
    <row r="22" spans="1:4" ht="18.75" customHeight="1">
      <c r="A22" s="25" t="s">
        <v>193</v>
      </c>
      <c r="B22" s="26" t="s">
        <v>228</v>
      </c>
      <c r="C22" s="25" t="s">
        <v>209</v>
      </c>
      <c r="D22" s="92"/>
    </row>
    <row r="23" spans="1:4" ht="18.75" customHeight="1">
      <c r="A23" s="25" t="s">
        <v>196</v>
      </c>
      <c r="B23" s="26" t="s">
        <v>324</v>
      </c>
      <c r="C23" s="25" t="s">
        <v>210</v>
      </c>
      <c r="D23" s="92"/>
    </row>
    <row r="24" spans="1:4" ht="18.75" customHeight="1">
      <c r="A24" s="28" t="s">
        <v>198</v>
      </c>
      <c r="B24" s="29" t="s">
        <v>211</v>
      </c>
      <c r="C24" s="28" t="s">
        <v>208</v>
      </c>
      <c r="D24" s="93"/>
    </row>
    <row r="25" spans="1:4" ht="7.5" customHeight="1">
      <c r="A25" s="3"/>
      <c r="B25" s="4"/>
      <c r="C25" s="4"/>
      <c r="D25" s="94"/>
    </row>
    <row r="26" spans="1:6" ht="12.75">
      <c r="A26" s="37"/>
      <c r="B26" s="36"/>
      <c r="C26" s="36"/>
      <c r="D26" s="95"/>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2">
      <selection activeCell="F18" sqref="F18"/>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00" t="s">
        <v>688</v>
      </c>
      <c r="B1" s="400"/>
      <c r="C1" s="400"/>
      <c r="D1" s="400"/>
      <c r="E1" s="400"/>
      <c r="F1" s="400"/>
      <c r="G1" s="400"/>
      <c r="H1" s="400"/>
      <c r="I1" s="400"/>
      <c r="J1" s="400"/>
    </row>
    <row r="2" ht="12.75">
      <c r="J2" s="8" t="s">
        <v>216</v>
      </c>
    </row>
    <row r="3" spans="1:10" s="2" customFormat="1" ht="36.75" customHeight="1">
      <c r="A3" s="13" t="s">
        <v>177</v>
      </c>
      <c r="B3" s="79" t="s">
        <v>178</v>
      </c>
      <c r="C3" s="79" t="s">
        <v>303</v>
      </c>
      <c r="D3" s="14" t="s">
        <v>289</v>
      </c>
      <c r="E3" s="14" t="s">
        <v>314</v>
      </c>
      <c r="F3" s="410" t="s">
        <v>287</v>
      </c>
      <c r="G3" s="406" t="s">
        <v>181</v>
      </c>
      <c r="H3" s="406"/>
      <c r="I3" s="406"/>
      <c r="J3" s="406" t="s">
        <v>288</v>
      </c>
    </row>
    <row r="4" spans="1:10" s="2" customFormat="1" ht="65.25" customHeight="1">
      <c r="A4" s="13"/>
      <c r="B4" s="80"/>
      <c r="C4" s="80"/>
      <c r="D4" s="13"/>
      <c r="E4" s="14"/>
      <c r="F4" s="410"/>
      <c r="G4" s="84" t="s">
        <v>285</v>
      </c>
      <c r="H4" s="84" t="s">
        <v>286</v>
      </c>
      <c r="I4" s="84" t="s">
        <v>572</v>
      </c>
      <c r="J4" s="406"/>
    </row>
    <row r="5" spans="1:10" ht="9" customHeight="1">
      <c r="A5" s="16">
        <v>1</v>
      </c>
      <c r="B5" s="16">
        <v>2</v>
      </c>
      <c r="C5" s="16">
        <v>3</v>
      </c>
      <c r="D5" s="85">
        <v>4</v>
      </c>
      <c r="E5" s="85">
        <v>5</v>
      </c>
      <c r="F5" s="85">
        <v>6</v>
      </c>
      <c r="G5" s="85">
        <v>7</v>
      </c>
      <c r="H5" s="85">
        <v>8</v>
      </c>
      <c r="I5" s="85">
        <v>9</v>
      </c>
      <c r="J5" s="16">
        <v>10</v>
      </c>
    </row>
    <row r="6" spans="1:10" ht="19.5" customHeight="1">
      <c r="A6" s="17" t="s">
        <v>358</v>
      </c>
      <c r="B6" s="17" t="s">
        <v>360</v>
      </c>
      <c r="C6" s="17">
        <v>211</v>
      </c>
      <c r="D6" s="74">
        <f>1!E12</f>
        <v>30000</v>
      </c>
      <c r="E6" s="74">
        <f>SUM(F6+J6)</f>
        <v>30000</v>
      </c>
      <c r="F6" s="74">
        <f>D6</f>
        <v>30000</v>
      </c>
      <c r="G6" s="74"/>
      <c r="H6" s="74"/>
      <c r="I6" s="74"/>
      <c r="J6" s="17"/>
    </row>
    <row r="7" spans="1:10" ht="19.5" customHeight="1">
      <c r="A7" s="17" t="s">
        <v>573</v>
      </c>
      <c r="B7" s="17" t="s">
        <v>574</v>
      </c>
      <c r="C7" s="17">
        <v>211</v>
      </c>
      <c r="D7" s="74">
        <f>1!E30</f>
        <v>81000</v>
      </c>
      <c r="E7" s="74">
        <f aca="true" t="shared" si="0" ref="E7:E19">SUM(F7+J7)</f>
        <v>81000</v>
      </c>
      <c r="F7" s="74">
        <f aca="true" t="shared" si="1" ref="F7:F19">D7</f>
        <v>81000</v>
      </c>
      <c r="G7" s="74"/>
      <c r="H7" s="74"/>
      <c r="I7" s="74"/>
      <c r="J7" s="17"/>
    </row>
    <row r="8" spans="1:10" ht="19.5" customHeight="1">
      <c r="A8" s="17"/>
      <c r="B8" s="17"/>
      <c r="C8" s="17">
        <v>640</v>
      </c>
      <c r="D8" s="74">
        <f>1!E33</f>
        <v>9000</v>
      </c>
      <c r="E8" s="74">
        <f>SUM(F8+J8)</f>
        <v>9000</v>
      </c>
      <c r="F8" s="74"/>
      <c r="G8" s="74"/>
      <c r="H8" s="74"/>
      <c r="I8" s="74"/>
      <c r="J8" s="17">
        <v>9000</v>
      </c>
    </row>
    <row r="9" spans="1:10" ht="19.5" customHeight="1">
      <c r="A9" s="17" t="s">
        <v>575</v>
      </c>
      <c r="B9" s="17" t="s">
        <v>576</v>
      </c>
      <c r="C9" s="17">
        <v>211</v>
      </c>
      <c r="D9" s="74">
        <f>1!E36</f>
        <v>70000</v>
      </c>
      <c r="E9" s="74">
        <f t="shared" si="0"/>
        <v>70000</v>
      </c>
      <c r="F9" s="74">
        <f t="shared" si="1"/>
        <v>70000</v>
      </c>
      <c r="G9" s="74"/>
      <c r="H9" s="74"/>
      <c r="I9" s="74"/>
      <c r="J9" s="17"/>
    </row>
    <row r="10" spans="1:10" ht="19.5" customHeight="1">
      <c r="A10" s="17"/>
      <c r="B10" s="17" t="s">
        <v>577</v>
      </c>
      <c r="C10" s="17">
        <v>211</v>
      </c>
      <c r="D10" s="74">
        <f>1!E38</f>
        <v>10400</v>
      </c>
      <c r="E10" s="74">
        <f t="shared" si="0"/>
        <v>10400</v>
      </c>
      <c r="F10" s="74">
        <f t="shared" si="1"/>
        <v>10400</v>
      </c>
      <c r="G10" s="74"/>
      <c r="H10" s="74"/>
      <c r="I10" s="74"/>
      <c r="J10" s="17"/>
    </row>
    <row r="11" spans="1:11" ht="19.5" customHeight="1">
      <c r="A11" s="17"/>
      <c r="B11" s="17" t="s">
        <v>578</v>
      </c>
      <c r="C11" s="17">
        <v>211</v>
      </c>
      <c r="D11" s="74">
        <f>1!E40</f>
        <v>481000</v>
      </c>
      <c r="E11" s="74">
        <f t="shared" si="0"/>
        <v>481000</v>
      </c>
      <c r="F11" s="74">
        <f t="shared" si="1"/>
        <v>481000</v>
      </c>
      <c r="G11" s="342">
        <f>2!G64+2!G65-18300</f>
        <v>312900</v>
      </c>
      <c r="H11" s="342">
        <f>2!I67+2!I68-3180-490</f>
        <v>62730</v>
      </c>
      <c r="I11" s="342">
        <f>2!H66-1430</f>
        <v>23570</v>
      </c>
      <c r="J11" s="17"/>
      <c r="K11" s="73"/>
    </row>
    <row r="12" spans="1:11" ht="19.5" customHeight="1">
      <c r="A12" s="17" t="s">
        <v>579</v>
      </c>
      <c r="B12" s="17" t="s">
        <v>580</v>
      </c>
      <c r="C12" s="17">
        <v>211</v>
      </c>
      <c r="D12" s="74">
        <f>1!E43</f>
        <v>355300</v>
      </c>
      <c r="E12" s="74">
        <f t="shared" si="0"/>
        <v>355300</v>
      </c>
      <c r="F12" s="74">
        <f t="shared" si="1"/>
        <v>355300</v>
      </c>
      <c r="G12" s="74">
        <f>2!G93*6!F12/2!E91</f>
        <v>255825.09667927702</v>
      </c>
      <c r="H12" s="74">
        <f>(2!I96+2!I97)*6!F12/2!E91</f>
        <v>48198.823034888606</v>
      </c>
      <c r="I12" s="74">
        <f>2!H95*6!F12/2!E91</f>
        <v>16971.416561580496</v>
      </c>
      <c r="J12" s="17"/>
      <c r="K12" s="73"/>
    </row>
    <row r="13" spans="1:10" ht="19.5" customHeight="1">
      <c r="A13" s="17"/>
      <c r="B13" s="17" t="s">
        <v>581</v>
      </c>
      <c r="C13" s="17">
        <v>211</v>
      </c>
      <c r="D13" s="74">
        <f>1!E51</f>
        <v>37500</v>
      </c>
      <c r="E13" s="74">
        <f t="shared" si="0"/>
        <v>37500</v>
      </c>
      <c r="F13" s="74">
        <f t="shared" si="1"/>
        <v>37500</v>
      </c>
      <c r="G13" s="74"/>
      <c r="H13" s="74">
        <f>2!I150+2!I152</f>
        <v>900</v>
      </c>
      <c r="I13" s="74"/>
      <c r="J13" s="17"/>
    </row>
    <row r="14" spans="1:10" ht="19.5" customHeight="1">
      <c r="A14" s="17" t="s">
        <v>683</v>
      </c>
      <c r="B14" s="17" t="s">
        <v>684</v>
      </c>
      <c r="C14" s="17">
        <v>211</v>
      </c>
      <c r="D14" s="74">
        <f>1!E55</f>
        <v>5000</v>
      </c>
      <c r="E14" s="74">
        <f>SUM(F14+J14)</f>
        <v>5000</v>
      </c>
      <c r="F14" s="74">
        <f>D14</f>
        <v>5000</v>
      </c>
      <c r="G14" s="74"/>
      <c r="H14" s="74"/>
      <c r="I14" s="74">
        <f>2!H97*(D14/(2!E93-18346))</f>
        <v>0</v>
      </c>
      <c r="J14" s="17"/>
    </row>
    <row r="15" spans="1:10" ht="19.5" customHeight="1" hidden="1">
      <c r="A15" s="17"/>
      <c r="B15" s="17"/>
      <c r="C15" s="17"/>
      <c r="D15" s="74"/>
      <c r="E15" s="74"/>
      <c r="F15" s="74"/>
      <c r="G15" s="74"/>
      <c r="H15" s="74"/>
      <c r="I15" s="74"/>
      <c r="J15" s="17"/>
    </row>
    <row r="16" spans="1:10" ht="19.5" customHeight="1">
      <c r="A16" s="17" t="s">
        <v>582</v>
      </c>
      <c r="B16" s="17" t="s">
        <v>583</v>
      </c>
      <c r="C16" s="17">
        <v>211</v>
      </c>
      <c r="D16" s="74">
        <f>1!E93</f>
        <v>1174000</v>
      </c>
      <c r="E16" s="74">
        <f t="shared" si="0"/>
        <v>1174000</v>
      </c>
      <c r="F16" s="74">
        <f t="shared" si="1"/>
        <v>1174000</v>
      </c>
      <c r="G16" s="74"/>
      <c r="H16" s="74"/>
      <c r="I16" s="74"/>
      <c r="J16" s="17"/>
    </row>
    <row r="17" spans="1:10" ht="19.5" customHeight="1">
      <c r="A17" s="17"/>
      <c r="B17" s="17" t="s">
        <v>584</v>
      </c>
      <c r="C17" s="17">
        <v>211</v>
      </c>
      <c r="D17" s="74">
        <f>1!E109</f>
        <v>750000</v>
      </c>
      <c r="E17" s="74">
        <f t="shared" si="0"/>
        <v>750000</v>
      </c>
      <c r="F17" s="74">
        <f t="shared" si="1"/>
        <v>750000</v>
      </c>
      <c r="G17" s="74">
        <f>2!G423</f>
        <v>398400</v>
      </c>
      <c r="H17" s="74">
        <f>2!I425+2!I426</f>
        <v>78390</v>
      </c>
      <c r="I17" s="74">
        <f>2!H424</f>
        <v>31602</v>
      </c>
      <c r="J17" s="17"/>
    </row>
    <row r="18" spans="1:10" ht="19.5" customHeight="1">
      <c r="A18" s="17" t="s">
        <v>585</v>
      </c>
      <c r="B18" s="17" t="s">
        <v>586</v>
      </c>
      <c r="C18" s="17">
        <v>211</v>
      </c>
      <c r="D18" s="74">
        <f>1!E119</f>
        <v>116000</v>
      </c>
      <c r="E18" s="74">
        <f t="shared" si="0"/>
        <v>116000</v>
      </c>
      <c r="F18" s="74">
        <f t="shared" si="1"/>
        <v>116000</v>
      </c>
      <c r="G18" s="74">
        <f>2!G500*6!F18/2!E499</f>
        <v>38957.50857746107</v>
      </c>
      <c r="H18" s="74">
        <f>2!I502*6!F18/2!E499+2!I503*6!F18/2!E499</f>
        <v>9031.40670361573</v>
      </c>
      <c r="I18" s="74">
        <f>2!H501*6!F18/2!E499</f>
        <v>2831.8817629981527</v>
      </c>
      <c r="J18" s="74"/>
    </row>
    <row r="19" spans="1:10" ht="19.5" customHeight="1" hidden="1">
      <c r="A19" s="17"/>
      <c r="B19" s="17" t="s">
        <v>128</v>
      </c>
      <c r="C19" s="17">
        <v>211</v>
      </c>
      <c r="D19" s="74">
        <f>1!E127</f>
        <v>0</v>
      </c>
      <c r="E19" s="74">
        <f t="shared" si="0"/>
        <v>0</v>
      </c>
      <c r="F19" s="74">
        <f t="shared" si="1"/>
        <v>0</v>
      </c>
      <c r="G19" s="74"/>
      <c r="H19" s="74"/>
      <c r="I19" s="74"/>
      <c r="J19" s="74"/>
    </row>
    <row r="20" spans="1:10" s="52" customFormat="1" ht="19.5" customHeight="1">
      <c r="A20" s="420" t="s">
        <v>299</v>
      </c>
      <c r="B20" s="421"/>
      <c r="C20" s="421"/>
      <c r="D20" s="108">
        <f>SUM(D6:D19)</f>
        <v>3119200</v>
      </c>
      <c r="E20" s="108">
        <f>SUM(F20+J20)</f>
        <v>3119200</v>
      </c>
      <c r="F20" s="108">
        <f>SUM(F6:F19)</f>
        <v>3110200</v>
      </c>
      <c r="G20" s="108">
        <f>SUM(G6:G18)</f>
        <v>1006082.6052567381</v>
      </c>
      <c r="H20" s="108">
        <f>SUM(H6:H18)</f>
        <v>199250.22973850433</v>
      </c>
      <c r="I20" s="108">
        <f>SUM(I6:I18)</f>
        <v>74975.29832457865</v>
      </c>
      <c r="J20" s="108">
        <f>SUM(J6:J18)</f>
        <v>9000</v>
      </c>
    </row>
    <row r="22" ht="12.75">
      <c r="A22" s="59"/>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XXII/145/09
z dnia 23.04.2009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00" t="s">
        <v>689</v>
      </c>
      <c r="B1" s="400"/>
      <c r="C1" s="400"/>
      <c r="D1" s="400"/>
      <c r="E1" s="400"/>
      <c r="F1" s="400"/>
      <c r="G1" s="400"/>
      <c r="H1" s="400"/>
      <c r="I1" s="400"/>
      <c r="J1" s="400"/>
    </row>
    <row r="2" spans="1:6" ht="15.75">
      <c r="A2" s="9"/>
      <c r="B2" s="9"/>
      <c r="C2" s="9"/>
      <c r="D2" s="9"/>
      <c r="E2" s="9"/>
      <c r="F2" s="9"/>
    </row>
    <row r="3" spans="1:10" ht="13.5" customHeight="1">
      <c r="A3" s="4"/>
      <c r="B3" s="4"/>
      <c r="C3" s="4"/>
      <c r="D3" s="4"/>
      <c r="E3" s="4"/>
      <c r="F3" s="4"/>
      <c r="J3" s="49" t="s">
        <v>216</v>
      </c>
    </row>
    <row r="4" spans="1:10" ht="20.25" customHeight="1">
      <c r="A4" s="408" t="s">
        <v>177</v>
      </c>
      <c r="B4" s="422" t="s">
        <v>178</v>
      </c>
      <c r="C4" s="422" t="s">
        <v>303</v>
      </c>
      <c r="D4" s="406" t="s">
        <v>289</v>
      </c>
      <c r="E4" s="406" t="s">
        <v>314</v>
      </c>
      <c r="F4" s="406" t="s">
        <v>251</v>
      </c>
      <c r="G4" s="406"/>
      <c r="H4" s="406"/>
      <c r="I4" s="406"/>
      <c r="J4" s="406"/>
    </row>
    <row r="5" spans="1:10" ht="18" customHeight="1">
      <c r="A5" s="408"/>
      <c r="B5" s="423"/>
      <c r="C5" s="423"/>
      <c r="D5" s="408"/>
      <c r="E5" s="406"/>
      <c r="F5" s="406" t="s">
        <v>287</v>
      </c>
      <c r="G5" s="406" t="s">
        <v>181</v>
      </c>
      <c r="H5" s="406"/>
      <c r="I5" s="406"/>
      <c r="J5" s="406" t="s">
        <v>288</v>
      </c>
    </row>
    <row r="6" spans="1:10" ht="69" customHeight="1">
      <c r="A6" s="408"/>
      <c r="B6" s="424"/>
      <c r="C6" s="424"/>
      <c r="D6" s="408"/>
      <c r="E6" s="406"/>
      <c r="F6" s="406"/>
      <c r="G6" s="14" t="s">
        <v>285</v>
      </c>
      <c r="H6" s="14" t="s">
        <v>286</v>
      </c>
      <c r="I6" s="14" t="s">
        <v>315</v>
      </c>
      <c r="J6" s="406"/>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1!E52</f>
        <v>28000</v>
      </c>
      <c r="E8" s="105">
        <f>F8+J8</f>
        <v>28000</v>
      </c>
      <c r="F8" s="105">
        <f>D8</f>
        <v>28000</v>
      </c>
      <c r="G8" s="105"/>
      <c r="H8" s="105"/>
      <c r="I8" s="105"/>
      <c r="J8" s="105"/>
    </row>
    <row r="9" spans="1:10" ht="24.75" customHeight="1">
      <c r="A9" s="425" t="s">
        <v>299</v>
      </c>
      <c r="B9" s="426"/>
      <c r="C9" s="426"/>
      <c r="D9" s="106">
        <f aca="true" t="shared" si="0" ref="D9:J9">SUM(D8:D8)</f>
        <v>28000</v>
      </c>
      <c r="E9" s="106">
        <f t="shared" si="0"/>
        <v>28000</v>
      </c>
      <c r="F9" s="106">
        <f t="shared" si="0"/>
        <v>28000</v>
      </c>
      <c r="G9" s="106">
        <f t="shared" si="0"/>
        <v>0</v>
      </c>
      <c r="H9" s="106">
        <f t="shared" si="0"/>
        <v>0</v>
      </c>
      <c r="I9" s="106">
        <f t="shared" si="0"/>
        <v>0</v>
      </c>
      <c r="J9" s="106">
        <f t="shared" si="0"/>
        <v>0</v>
      </c>
    </row>
    <row r="11" spans="1:7" ht="12.75">
      <c r="A11" s="59"/>
      <c r="G11"/>
    </row>
  </sheetData>
  <sheetProtection/>
  <mergeCells count="11">
    <mergeCell ref="A9:C9"/>
    <mergeCell ref="D4:D6"/>
    <mergeCell ref="A1:J1"/>
    <mergeCell ref="E4:E6"/>
    <mergeCell ref="F4:J4"/>
    <mergeCell ref="F5:F6"/>
    <mergeCell ref="G5:I5"/>
    <mergeCell ref="J5:J6"/>
    <mergeCell ref="A4:A6"/>
    <mergeCell ref="B4:B6"/>
    <mergeCell ref="C4:C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5"/>
  <sheetViews>
    <sheetView zoomScalePageLayoutView="0" workbookViewId="0" topLeftCell="A1">
      <selection activeCell="E25" sqref="E25"/>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00" t="s">
        <v>690</v>
      </c>
      <c r="B1" s="400"/>
      <c r="C1" s="400"/>
      <c r="D1" s="400"/>
      <c r="E1" s="400"/>
      <c r="F1" s="400"/>
      <c r="G1" s="400"/>
      <c r="H1" s="400"/>
      <c r="I1" s="400"/>
      <c r="J1" s="400"/>
      <c r="K1" s="400"/>
    </row>
    <row r="3" ht="12.75">
      <c r="K3" s="49" t="s">
        <v>216</v>
      </c>
    </row>
    <row r="4" spans="1:80" ht="20.25" customHeight="1">
      <c r="A4" s="408" t="s">
        <v>177</v>
      </c>
      <c r="B4" s="422" t="s">
        <v>178</v>
      </c>
      <c r="C4" s="422" t="s">
        <v>179</v>
      </c>
      <c r="D4" s="406" t="s">
        <v>289</v>
      </c>
      <c r="E4" s="406" t="s">
        <v>594</v>
      </c>
      <c r="F4" s="406" t="s">
        <v>251</v>
      </c>
      <c r="G4" s="406"/>
      <c r="H4" s="406"/>
      <c r="I4" s="406"/>
      <c r="J4" s="406"/>
      <c r="K4" s="406"/>
      <c r="BY4" s="1"/>
      <c r="BZ4" s="1"/>
      <c r="CA4" s="1"/>
      <c r="CB4" s="1"/>
    </row>
    <row r="5" spans="1:80" ht="18" customHeight="1">
      <c r="A5" s="408"/>
      <c r="B5" s="423"/>
      <c r="C5" s="423"/>
      <c r="D5" s="408"/>
      <c r="E5" s="406"/>
      <c r="F5" s="406" t="s">
        <v>287</v>
      </c>
      <c r="G5" s="406" t="s">
        <v>181</v>
      </c>
      <c r="H5" s="406"/>
      <c r="I5" s="406"/>
      <c r="J5" s="14"/>
      <c r="K5" s="406" t="s">
        <v>288</v>
      </c>
      <c r="BY5" s="1"/>
      <c r="BZ5" s="1"/>
      <c r="CA5" s="1"/>
      <c r="CB5" s="1"/>
    </row>
    <row r="6" spans="1:80" ht="69" customHeight="1">
      <c r="A6" s="408"/>
      <c r="B6" s="424"/>
      <c r="C6" s="424"/>
      <c r="D6" s="408"/>
      <c r="E6" s="406"/>
      <c r="F6" s="406"/>
      <c r="G6" s="14" t="s">
        <v>285</v>
      </c>
      <c r="H6" s="14" t="s">
        <v>286</v>
      </c>
      <c r="I6" s="104" t="s">
        <v>593</v>
      </c>
      <c r="J6" s="104" t="s">
        <v>612</v>
      </c>
      <c r="K6" s="406"/>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hidden="1">
      <c r="A9" s="74">
        <v>600</v>
      </c>
      <c r="B9" s="107">
        <v>60014</v>
      </c>
      <c r="C9" s="107">
        <v>2310</v>
      </c>
      <c r="D9" s="74">
        <f>1!F20</f>
        <v>0</v>
      </c>
      <c r="E9" s="74">
        <f>F9+K9</f>
        <v>0</v>
      </c>
      <c r="F9" s="74">
        <f aca="true" t="shared" si="0" ref="F9:F15">D9</f>
        <v>0</v>
      </c>
      <c r="G9" s="74"/>
      <c r="H9" s="74"/>
      <c r="I9" s="74"/>
      <c r="J9" s="74"/>
      <c r="K9" s="74"/>
      <c r="BY9" s="1"/>
      <c r="BZ9" s="1"/>
      <c r="CA9" s="1"/>
      <c r="CB9" s="1"/>
    </row>
    <row r="10" spans="1:80" ht="19.5" customHeight="1">
      <c r="A10" s="74">
        <v>600</v>
      </c>
      <c r="B10" s="107">
        <v>60014</v>
      </c>
      <c r="C10" s="244">
        <v>6610</v>
      </c>
      <c r="D10" s="74">
        <f>1!G24</f>
        <v>1810000</v>
      </c>
      <c r="E10" s="74">
        <f>D10</f>
        <v>1810000</v>
      </c>
      <c r="F10" s="74"/>
      <c r="G10" s="74"/>
      <c r="H10" s="74"/>
      <c r="I10" s="74"/>
      <c r="J10" s="74"/>
      <c r="K10" s="74">
        <f>D10</f>
        <v>1810000</v>
      </c>
      <c r="BY10" s="1"/>
      <c r="BZ10" s="1"/>
      <c r="CA10" s="1"/>
      <c r="CB10" s="1"/>
    </row>
    <row r="11" spans="1:80" ht="19.5" customHeight="1" hidden="1">
      <c r="A11" s="74"/>
      <c r="B11" s="107">
        <v>60014</v>
      </c>
      <c r="C11" s="244">
        <v>6610</v>
      </c>
      <c r="D11" s="74">
        <f>1!G25</f>
        <v>0</v>
      </c>
      <c r="E11" s="74">
        <f>D11</f>
        <v>0</v>
      </c>
      <c r="F11" s="74">
        <f t="shared" si="0"/>
        <v>0</v>
      </c>
      <c r="G11" s="74"/>
      <c r="H11" s="74"/>
      <c r="I11" s="74"/>
      <c r="J11" s="74"/>
      <c r="K11" s="74"/>
      <c r="BY11" s="1"/>
      <c r="BZ11" s="1"/>
      <c r="CA11" s="1"/>
      <c r="CB11" s="1"/>
    </row>
    <row r="12" spans="1:80" ht="19.5" customHeight="1" hidden="1">
      <c r="A12" s="74">
        <v>801</v>
      </c>
      <c r="B12" s="107">
        <v>80195</v>
      </c>
      <c r="C12" s="244">
        <v>2008</v>
      </c>
      <c r="D12" s="74"/>
      <c r="E12" s="74">
        <f>D12</f>
        <v>0</v>
      </c>
      <c r="F12" s="74">
        <f t="shared" si="0"/>
        <v>0</v>
      </c>
      <c r="G12" s="74"/>
      <c r="H12" s="74"/>
      <c r="I12" s="74"/>
      <c r="J12" s="74"/>
      <c r="K12" s="74"/>
      <c r="BY12" s="1"/>
      <c r="BZ12" s="1"/>
      <c r="CA12" s="1"/>
      <c r="CB12" s="1"/>
    </row>
    <row r="13" spans="1:80" ht="19.5" customHeight="1" hidden="1">
      <c r="A13" s="74"/>
      <c r="B13" s="107">
        <v>80195</v>
      </c>
      <c r="C13" s="244">
        <v>2009</v>
      </c>
      <c r="D13" s="74"/>
      <c r="E13" s="74">
        <f>D13</f>
        <v>0</v>
      </c>
      <c r="F13" s="74">
        <f t="shared" si="0"/>
        <v>0</v>
      </c>
      <c r="G13" s="74"/>
      <c r="H13" s="74"/>
      <c r="I13" s="74"/>
      <c r="J13" s="74"/>
      <c r="K13" s="74"/>
      <c r="BY13" s="1"/>
      <c r="BZ13" s="1"/>
      <c r="CA13" s="1"/>
      <c r="CB13" s="1"/>
    </row>
    <row r="14" spans="1:80" ht="19.5" customHeight="1">
      <c r="A14" s="74">
        <v>852</v>
      </c>
      <c r="B14" s="107">
        <v>85201</v>
      </c>
      <c r="C14" s="107">
        <v>2320</v>
      </c>
      <c r="D14" s="74">
        <f>1!E96</f>
        <v>67220</v>
      </c>
      <c r="E14" s="74">
        <f>F14+K14</f>
        <v>67220</v>
      </c>
      <c r="F14" s="74">
        <f t="shared" si="0"/>
        <v>67220</v>
      </c>
      <c r="G14" s="74"/>
      <c r="H14" s="74"/>
      <c r="I14" s="74"/>
      <c r="J14" s="74"/>
      <c r="K14" s="74"/>
      <c r="BY14" s="1"/>
      <c r="BZ14" s="1"/>
      <c r="CA14" s="1"/>
      <c r="CB14" s="1"/>
    </row>
    <row r="15" spans="1:80" ht="19.5" customHeight="1">
      <c r="A15" s="74"/>
      <c r="B15" s="107">
        <v>85204</v>
      </c>
      <c r="C15" s="107">
        <v>2320</v>
      </c>
      <c r="D15" s="74">
        <f>1!E112</f>
        <v>218400</v>
      </c>
      <c r="E15" s="74">
        <f>F15+K15</f>
        <v>218400</v>
      </c>
      <c r="F15" s="74">
        <f t="shared" si="0"/>
        <v>218400</v>
      </c>
      <c r="G15" s="74"/>
      <c r="H15" s="74"/>
      <c r="I15" s="74"/>
      <c r="J15" s="74"/>
      <c r="K15" s="74"/>
      <c r="BY15" s="1"/>
      <c r="BZ15" s="1"/>
      <c r="CA15" s="1"/>
      <c r="CB15" s="1"/>
    </row>
    <row r="16" spans="1:80" ht="19.5" customHeight="1">
      <c r="A16" s="74">
        <v>853</v>
      </c>
      <c r="B16" s="107">
        <v>85395</v>
      </c>
      <c r="C16" s="107">
        <v>2310</v>
      </c>
      <c r="D16" s="74">
        <f>1!E134</f>
        <v>99384</v>
      </c>
      <c r="E16" s="74">
        <f aca="true" t="shared" si="1" ref="E16:F20">D16</f>
        <v>99384</v>
      </c>
      <c r="F16" s="74">
        <f t="shared" si="1"/>
        <v>99384</v>
      </c>
      <c r="G16" s="74"/>
      <c r="H16" s="74">
        <v>1</v>
      </c>
      <c r="I16" s="74"/>
      <c r="J16" s="343">
        <v>227</v>
      </c>
      <c r="K16" s="74"/>
      <c r="BY16" s="1"/>
      <c r="BZ16" s="1"/>
      <c r="CA16" s="1"/>
      <c r="CB16" s="1"/>
    </row>
    <row r="17" spans="1:80" ht="19.5" customHeight="1">
      <c r="A17" s="74">
        <v>853</v>
      </c>
      <c r="B17" s="107">
        <v>85395</v>
      </c>
      <c r="C17" s="107">
        <v>2320</v>
      </c>
      <c r="D17" s="74">
        <f>1!E135</f>
        <v>135571</v>
      </c>
      <c r="E17" s="74">
        <f>D17</f>
        <v>135571</v>
      </c>
      <c r="F17" s="74">
        <f>E17</f>
        <v>135571</v>
      </c>
      <c r="G17" s="74"/>
      <c r="H17" s="74">
        <v>415</v>
      </c>
      <c r="I17" s="74"/>
      <c r="J17" s="342">
        <v>114598</v>
      </c>
      <c r="K17" s="74"/>
      <c r="BY17" s="1"/>
      <c r="BZ17" s="1"/>
      <c r="CA17" s="1"/>
      <c r="CB17" s="1"/>
    </row>
    <row r="18" spans="1:80" ht="19.5" customHeight="1">
      <c r="A18" s="74">
        <v>854</v>
      </c>
      <c r="B18" s="107">
        <v>85415</v>
      </c>
      <c r="C18" s="107">
        <v>2330</v>
      </c>
      <c r="D18" s="74">
        <f>1!E151</f>
        <v>9000</v>
      </c>
      <c r="E18" s="74">
        <f t="shared" si="1"/>
        <v>9000</v>
      </c>
      <c r="F18" s="74">
        <f t="shared" si="1"/>
        <v>9000</v>
      </c>
      <c r="G18" s="74"/>
      <c r="H18" s="74"/>
      <c r="I18" s="74"/>
      <c r="J18" s="342"/>
      <c r="K18" s="74"/>
      <c r="BY18" s="1"/>
      <c r="BZ18" s="1"/>
      <c r="CA18" s="1"/>
      <c r="CB18" s="1"/>
    </row>
    <row r="19" spans="1:80" ht="19.5" customHeight="1" hidden="1">
      <c r="A19" s="74"/>
      <c r="B19" s="107">
        <v>85395</v>
      </c>
      <c r="C19" s="107">
        <v>2008</v>
      </c>
      <c r="D19" s="74"/>
      <c r="E19" s="74">
        <f t="shared" si="1"/>
        <v>0</v>
      </c>
      <c r="F19" s="74">
        <f t="shared" si="1"/>
        <v>0</v>
      </c>
      <c r="G19" s="74"/>
      <c r="H19" s="74">
        <f>(2!I552+2!I553+2!I554+2!I555)*85%</f>
        <v>114516.25</v>
      </c>
      <c r="I19" s="74"/>
      <c r="J19" s="74">
        <f>2!J548</f>
        <v>1493</v>
      </c>
      <c r="K19" s="74"/>
      <c r="BY19" s="1"/>
      <c r="BZ19" s="1"/>
      <c r="CA19" s="1"/>
      <c r="CB19" s="1"/>
    </row>
    <row r="20" spans="1:80" ht="19.5" customHeight="1" hidden="1">
      <c r="A20" s="74"/>
      <c r="B20" s="107">
        <v>85395</v>
      </c>
      <c r="C20" s="107">
        <v>2009</v>
      </c>
      <c r="D20" s="74"/>
      <c r="E20" s="74">
        <f t="shared" si="1"/>
        <v>0</v>
      </c>
      <c r="F20" s="74">
        <f t="shared" si="1"/>
        <v>0</v>
      </c>
      <c r="G20" s="74"/>
      <c r="H20" s="74" t="e">
        <f>(2!I553+2!I555)*#REF!</f>
        <v>#REF!</v>
      </c>
      <c r="I20" s="74"/>
      <c r="J20" s="74" t="e">
        <f>2!J549*8!#REF!+5</f>
        <v>#REF!</v>
      </c>
      <c r="K20" s="74"/>
      <c r="BY20" s="1"/>
      <c r="BZ20" s="1"/>
      <c r="CA20" s="1"/>
      <c r="CB20" s="1"/>
    </row>
    <row r="21" spans="1:80" ht="19.5" customHeight="1" hidden="1">
      <c r="A21" s="74"/>
      <c r="B21" s="107">
        <v>85395</v>
      </c>
      <c r="C21" s="107">
        <v>6208</v>
      </c>
      <c r="D21" s="74">
        <f>1!E131</f>
        <v>0</v>
      </c>
      <c r="E21" s="74">
        <f>K21</f>
        <v>0</v>
      </c>
      <c r="F21" s="74"/>
      <c r="G21" s="74"/>
      <c r="H21" s="74"/>
      <c r="I21" s="74"/>
      <c r="J21" s="74"/>
      <c r="K21" s="74"/>
      <c r="BY21" s="1"/>
      <c r="BZ21" s="1"/>
      <c r="CA21" s="1"/>
      <c r="CB21" s="1"/>
    </row>
    <row r="22" spans="1:80" ht="19.5" customHeight="1" hidden="1">
      <c r="A22" s="74"/>
      <c r="B22" s="107">
        <v>85395</v>
      </c>
      <c r="C22" s="107">
        <v>6209</v>
      </c>
      <c r="D22" s="74">
        <f>1!E132</f>
        <v>0</v>
      </c>
      <c r="E22" s="74">
        <f>K22</f>
        <v>0</v>
      </c>
      <c r="F22" s="74"/>
      <c r="G22" s="74"/>
      <c r="H22" s="74"/>
      <c r="I22" s="74"/>
      <c r="J22" s="74"/>
      <c r="K22" s="74"/>
      <c r="BY22" s="1"/>
      <c r="BZ22" s="1"/>
      <c r="CA22" s="1"/>
      <c r="CB22" s="1"/>
    </row>
    <row r="23" spans="1:80" ht="19.5" customHeight="1" hidden="1">
      <c r="A23" s="74">
        <v>854</v>
      </c>
      <c r="B23" s="107">
        <v>85415</v>
      </c>
      <c r="C23" s="107">
        <v>2330</v>
      </c>
      <c r="D23" s="74">
        <f>1!F146</f>
        <v>0</v>
      </c>
      <c r="E23" s="74">
        <f>F23+K23</f>
        <v>0</v>
      </c>
      <c r="F23" s="74">
        <f>D23</f>
        <v>0</v>
      </c>
      <c r="G23" s="74"/>
      <c r="H23" s="74"/>
      <c r="I23" s="74"/>
      <c r="J23" s="74"/>
      <c r="K23" s="74"/>
      <c r="BY23" s="1"/>
      <c r="BZ23" s="1"/>
      <c r="CA23" s="1"/>
      <c r="CB23" s="1"/>
    </row>
    <row r="24" spans="1:80" ht="19.5" customHeight="1" hidden="1">
      <c r="A24" s="74"/>
      <c r="B24" s="107"/>
      <c r="C24" s="107"/>
      <c r="D24" s="74"/>
      <c r="E24" s="74"/>
      <c r="F24" s="74"/>
      <c r="G24" s="74"/>
      <c r="H24" s="74"/>
      <c r="I24" s="74"/>
      <c r="J24" s="74"/>
      <c r="K24" s="74"/>
      <c r="BY24" s="1"/>
      <c r="BZ24" s="1"/>
      <c r="CA24" s="1"/>
      <c r="CB24" s="1"/>
    </row>
    <row r="25" spans="1:76" s="110" customFormat="1" ht="24.75" customHeight="1">
      <c r="A25" s="427" t="s">
        <v>299</v>
      </c>
      <c r="B25" s="428"/>
      <c r="C25" s="429"/>
      <c r="D25" s="109">
        <f aca="true" t="shared" si="2" ref="D25:K25">SUM(D9:D24)</f>
        <v>2339575</v>
      </c>
      <c r="E25" s="109">
        <f t="shared" si="2"/>
        <v>2339575</v>
      </c>
      <c r="F25" s="109">
        <f t="shared" si="2"/>
        <v>529575</v>
      </c>
      <c r="G25" s="109">
        <f t="shared" si="2"/>
        <v>0</v>
      </c>
      <c r="H25" s="109">
        <f>SUM(H8:H18)</f>
        <v>416</v>
      </c>
      <c r="I25" s="109">
        <f t="shared" si="2"/>
        <v>0</v>
      </c>
      <c r="J25" s="109">
        <f>SUM(J8:J18)</f>
        <v>114825</v>
      </c>
      <c r="K25" s="109">
        <f t="shared" si="2"/>
        <v>1810000</v>
      </c>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row>
  </sheetData>
  <sheetProtection/>
  <mergeCells count="11">
    <mergeCell ref="A25:C25"/>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XXII/145/09
z dnia 23.04.2009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2009-04-27T08:54:44Z</cp:lastPrinted>
  <dcterms:created xsi:type="dcterms:W3CDTF">1998-12-09T13:02:10Z</dcterms:created>
  <dcterms:modified xsi:type="dcterms:W3CDTF">2009-04-27T08:54:58Z</dcterms:modified>
  <cp:category/>
  <cp:version/>
  <cp:contentType/>
  <cp:contentStatus/>
</cp:coreProperties>
</file>